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4" activeTab="0"/>
  </bookViews>
  <sheets>
    <sheet name="Test 1005" sheetId="1" r:id="rId1"/>
    <sheet name="Test du 261005" sheetId="2" r:id="rId2"/>
    <sheet name="Test du 311005" sheetId="3" r:id="rId3"/>
    <sheet name="Montée en tempèrature " sheetId="4" r:id="rId4"/>
  </sheets>
  <definedNames/>
  <calcPr fullCalcOnLoad="1"/>
</workbook>
</file>

<file path=xl/sharedStrings.xml><?xml version="1.0" encoding="utf-8"?>
<sst xmlns="http://schemas.openxmlformats.org/spreadsheetml/2006/main" count="495" uniqueCount="126">
  <si>
    <t>Données :</t>
  </si>
  <si>
    <t>Distance entre repère</t>
  </si>
  <si>
    <t>Mm</t>
  </si>
  <si>
    <t xml:space="preserve">Pour </t>
  </si>
  <si>
    <t>Litre</t>
  </si>
  <si>
    <t>Prix Litre de 95-98</t>
  </si>
  <si>
    <t>€</t>
  </si>
  <si>
    <t>Moteur n°1 – Processeur 3 réacteurs – Bullage Surpression – Eau Séparée</t>
  </si>
  <si>
    <t>Paramètres du test</t>
  </si>
  <si>
    <t>Para.</t>
  </si>
  <si>
    <t>U</t>
  </si>
  <si>
    <t>Durée du test</t>
  </si>
  <si>
    <t>Mesure niveau début</t>
  </si>
  <si>
    <t>Mesure niveau fin</t>
  </si>
  <si>
    <t>Ecart de niveau</t>
  </si>
  <si>
    <t>Consommation</t>
  </si>
  <si>
    <t>Consommation pour 1 kw</t>
  </si>
  <si>
    <t>Ecart Tests</t>
  </si>
  <si>
    <t>Test 1</t>
  </si>
  <si>
    <t>Rapport Poulie</t>
  </si>
  <si>
    <t>Mn</t>
  </si>
  <si>
    <t>L / Durée duré du test</t>
  </si>
  <si>
    <t>L / heure</t>
  </si>
  <si>
    <t>L / kW / H</t>
  </si>
  <si>
    <t>%</t>
  </si>
  <si>
    <t>Tension batterie début</t>
  </si>
  <si>
    <t>V</t>
  </si>
  <si>
    <t>Tension batterie test</t>
  </si>
  <si>
    <t>Niveau bullage Super</t>
  </si>
  <si>
    <t>L</t>
  </si>
  <si>
    <t>Coût L / kW / H</t>
  </si>
  <si>
    <t>Charge / moteur</t>
  </si>
  <si>
    <t>W</t>
  </si>
  <si>
    <t>En €</t>
  </si>
  <si>
    <t>Vanne reacteur Super dia. 4 mm</t>
  </si>
  <si>
    <t>Vanne reacteur Super dia. 10 mm</t>
  </si>
  <si>
    <t>Vanne reacteur Eau dia. 10 mm</t>
  </si>
  <si>
    <t>Vanne bullage Eau</t>
  </si>
  <si>
    <t>Test 2</t>
  </si>
  <si>
    <t>Rapport Eau / Super</t>
  </si>
  <si>
    <t>Consommation Eau</t>
  </si>
  <si>
    <r>
      <t>Observation :</t>
    </r>
    <r>
      <rPr>
        <sz val="10"/>
        <rFont val="Arial"/>
        <family val="2"/>
      </rPr>
      <t xml:space="preserve"> Fuite sur bulleur Super, étanchéité liaison manchon et goulot bidon</t>
    </r>
  </si>
  <si>
    <t>Test 3</t>
  </si>
  <si>
    <t>Test 4</t>
  </si>
  <si>
    <r>
      <t>Observation :</t>
    </r>
    <r>
      <rPr>
        <sz val="10"/>
        <rFont val="Arial"/>
        <family val="2"/>
      </rPr>
      <t xml:space="preserve">  Borne plus de la baterrie débranchée</t>
    </r>
  </si>
  <si>
    <t>Test 7</t>
  </si>
  <si>
    <t>Tension  test</t>
  </si>
  <si>
    <t xml:space="preserve">Observation : le procédé est en quasi circuit « fermé » à l'échappement, l'eau est transferée dans le bidon de super mais aussi  le niveau réservoir d'eau descend peu   </t>
  </si>
  <si>
    <t xml:space="preserve"> - La batterie sert seulement à exciter le rotor de l'alternateur – Pas de fumée au niveau du bas moteur </t>
  </si>
  <si>
    <t xml:space="preserve"> - La batterie n'est plus raccordée pendant la durée du test</t>
  </si>
  <si>
    <r>
      <t xml:space="preserve">Moteur n°1 – </t>
    </r>
    <r>
      <rPr>
        <b/>
        <sz val="14"/>
        <color indexed="40"/>
        <rFont val="Arial"/>
        <family val="2"/>
      </rPr>
      <t>Processeur Pantone Original – Bullage à dépression – Eau séparée</t>
    </r>
  </si>
  <si>
    <t>Test 8</t>
  </si>
  <si>
    <t>Quantité  Super Début</t>
  </si>
  <si>
    <t>Quantité  Super Fin</t>
  </si>
  <si>
    <t>Vanne  Super</t>
  </si>
  <si>
    <t>Vanne  Eau</t>
  </si>
  <si>
    <t xml:space="preserve">Observation : La batterie sert seulement à exciter le rotor de l'alternateur – Pas de fumée au niveau du bas moteur </t>
  </si>
  <si>
    <t xml:space="preserve"> - La batterie n'est plus raccordée pendant la durée du test – Le Bypass eau surffauchée est fermé</t>
  </si>
  <si>
    <t>Durée</t>
  </si>
  <si>
    <t>Température Extérieure Réservoir Eau</t>
  </si>
  <si>
    <t>°C</t>
  </si>
  <si>
    <t>Test 9</t>
  </si>
  <si>
    <t>Eau Consommée</t>
  </si>
  <si>
    <t>Observation : Super pollué par bullage surpression - Pas de fumée au niveau du bas moteur</t>
  </si>
  <si>
    <t>Moteur n°2 – Processeur Pantone Original – Bullage à dépression – Eau séparée</t>
  </si>
  <si>
    <t>TEST A BLANC</t>
  </si>
  <si>
    <t>Test 5</t>
  </si>
  <si>
    <t>Super Consommée</t>
  </si>
  <si>
    <t>Vanne Réservoir Super</t>
  </si>
  <si>
    <t>Vanne réservoir Eau</t>
  </si>
  <si>
    <r>
      <t>Observation :</t>
    </r>
    <r>
      <rPr>
        <sz val="10"/>
        <rFont val="Arial"/>
        <family val="2"/>
      </rPr>
      <t xml:space="preserve"> Aprés env. 25 mn ralenti avec vanne air frais fermé – </t>
    </r>
    <r>
      <rPr>
        <b/>
        <u val="single"/>
        <sz val="10"/>
        <rFont val="Arial"/>
        <family val="2"/>
      </rPr>
      <t>Le chauffage de l'eau semble éfficace après env. 25 mn</t>
    </r>
  </si>
  <si>
    <t xml:space="preserve"> - Déplacer la vanne richesse Super vers canne à dépression car plus de réglage de ralenti possible en T°C</t>
  </si>
  <si>
    <t xml:space="preserve"> - La fermeture puis l'ouverture de la vanne de richesse d'eau infuence le régime moteur </t>
  </si>
  <si>
    <r>
      <t xml:space="preserve"> </t>
    </r>
    <r>
      <rPr>
        <sz val="10"/>
        <rFont val="Arial"/>
        <family val="2"/>
      </rPr>
      <t xml:space="preserve">- Pas de pb. de démarrage avec vanne richesse eau ouverte / </t>
    </r>
    <r>
      <rPr>
        <b/>
        <u val="single"/>
        <sz val="10"/>
        <rFont val="Arial"/>
        <family val="2"/>
      </rPr>
      <t>faut – il déplacer le vanne richesse eau vers la canne à dépression ?</t>
    </r>
  </si>
  <si>
    <r>
      <t xml:space="preserve"> </t>
    </r>
    <r>
      <rPr>
        <sz val="10"/>
        <rFont val="Arial"/>
        <family val="2"/>
      </rPr>
      <t xml:space="preserve">- Moins de puissance disponible car pas possible de monter au delà de 11,5 v – </t>
    </r>
    <r>
      <rPr>
        <b/>
        <u val="single"/>
        <sz val="10"/>
        <rFont val="Arial"/>
        <family val="2"/>
      </rPr>
      <t>Essai à faire avec Super seul</t>
    </r>
  </si>
  <si>
    <t xml:space="preserve"> - La batterie sert seulement à exciter le rotor de l'alternateur</t>
  </si>
  <si>
    <r>
      <t>Moteur n°2</t>
    </r>
    <r>
      <rPr>
        <b/>
        <sz val="14"/>
        <color indexed="49"/>
        <rFont val="Arial"/>
        <family val="2"/>
      </rPr>
      <t xml:space="preserve"> – Processeur Pantone Original – Bullage à dépression – Eau séparée</t>
    </r>
  </si>
  <si>
    <t>Référence</t>
  </si>
  <si>
    <t>Tension test</t>
  </si>
  <si>
    <t>Observation : Aprés env. 20 mn en charge l'eau boue au niveau du bypass, fermeture richesse eau obligatoire</t>
  </si>
  <si>
    <r>
      <t xml:space="preserve"> </t>
    </r>
    <r>
      <rPr>
        <sz val="10"/>
        <rFont val="Arial"/>
        <family val="2"/>
      </rPr>
      <t xml:space="preserve">- </t>
    </r>
    <r>
      <rPr>
        <b/>
        <u val="single"/>
        <sz val="10"/>
        <rFont val="Arial"/>
        <family val="2"/>
      </rPr>
      <t>Il faut gérer le pression de l'eau dans le réservoir par la fermeture de la vanne de dépression</t>
    </r>
  </si>
  <si>
    <t xml:space="preserve"> - Régime moteur trop haut mais trop de fumée à bas régime : segmentation HS</t>
  </si>
  <si>
    <t xml:space="preserve"> - Température extérieure réservoir &gt; 60 °C</t>
  </si>
  <si>
    <t xml:space="preserve"> - Il est nécessaire de replacer la vanne de dépression vers entrée réacteur richesse</t>
  </si>
  <si>
    <t>DONEES Constructeurs non vérifiées</t>
  </si>
  <si>
    <t xml:space="preserve">Référence </t>
  </si>
  <si>
    <t>Puis.</t>
  </si>
  <si>
    <t>Autonomie</t>
  </si>
  <si>
    <t>Réservoir</t>
  </si>
  <si>
    <t>Conso.</t>
  </si>
  <si>
    <t>Kw</t>
  </si>
  <si>
    <t>En h</t>
  </si>
  <si>
    <t>L / h</t>
  </si>
  <si>
    <t>L / kW / h</t>
  </si>
  <si>
    <t>4t</t>
  </si>
  <si>
    <t>Groupe SDMO 3000 w</t>
  </si>
  <si>
    <t>EPSi1000 EUROPOWER</t>
  </si>
  <si>
    <t>(honda)</t>
  </si>
  <si>
    <t>EU20I HONDA</t>
  </si>
  <si>
    <t>SDMO HX3000</t>
  </si>
  <si>
    <t>Robin OSR 2000 (143 cc)</t>
  </si>
  <si>
    <t>Robin SX 1500 (143 cc)</t>
  </si>
  <si>
    <t>Robin MIXTE 5100/4 (172 cc)</t>
  </si>
  <si>
    <t>Rapport des poulies</t>
  </si>
  <si>
    <t>Poulie Moteur</t>
  </si>
  <si>
    <t>RAPPORT</t>
  </si>
  <si>
    <t>Poulie Alternateur</t>
  </si>
  <si>
    <t>Données VALEO</t>
  </si>
  <si>
    <t>Régime Moteur</t>
  </si>
  <si>
    <t>Puissance disponible Alternateur</t>
  </si>
  <si>
    <t>Régime Alternateur</t>
  </si>
  <si>
    <t>tr/mn</t>
  </si>
  <si>
    <t>TEST DU 261005</t>
  </si>
  <si>
    <r>
      <t xml:space="preserve">Observation : 38% de consommation en plus par rapport à l'autre moteur, </t>
    </r>
    <r>
      <rPr>
        <b/>
        <u val="single"/>
        <sz val="10"/>
        <rFont val="Arial"/>
        <family val="2"/>
      </rPr>
      <t>essayer ce processeur sur l'autre moteur</t>
    </r>
  </si>
  <si>
    <t xml:space="preserve"> - Faire un test en fermant le bypass avec rondelle de cuivre et joint</t>
  </si>
  <si>
    <t xml:space="preserve"> - La batterie sert seulement à exciter le rotor de l'alternateur  - elle n'est plus raccordée pendant la durée du test </t>
  </si>
  <si>
    <t>Température Extérieure Réservoir Eau, moteur à vide, ralenti haut</t>
  </si>
  <si>
    <t>Arret mot.</t>
  </si>
  <si>
    <t>TEST DU 311005</t>
  </si>
  <si>
    <t>Test 6</t>
  </si>
  <si>
    <t xml:space="preserve"> De 12 à 10,5</t>
  </si>
  <si>
    <t>Observation : test 100% Super – Pas de différence de consommation avec Super + Eau, mais plus de puissance fournie</t>
  </si>
  <si>
    <t xml:space="preserve"> - La batterie sert seulement à exciter le rotor de l'alternateur – elle n'est plus raccordée pendant la durée du test </t>
  </si>
  <si>
    <t>Température Extérieure Réservoir Eau à vide, ralenti haut</t>
  </si>
  <si>
    <t>Régime moteur Haut : Estimation 1300 tr / mn</t>
  </si>
  <si>
    <t>Température Extérieure Réservoir Eau en charge 200 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</si>
</sst>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.0"/>
    <numFmt numFmtId="167" formatCode="0.000"/>
    <numFmt numFmtId="168" formatCode="#,##0.00\ [$€-40C];[RED]\-#,##0.00\ [$€-40C]"/>
    <numFmt numFmtId="169" formatCode="0.00%"/>
    <numFmt numFmtId="170" formatCode="0"/>
  </numFmts>
  <fonts count="28">
    <font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color indexed="40"/>
      <name val="Arial"/>
      <family val="2"/>
    </font>
    <font>
      <b/>
      <sz val="14"/>
      <color indexed="49"/>
      <name val="Arial"/>
      <family val="2"/>
    </font>
    <font>
      <sz val="10"/>
      <name val="Lucida Sans Unicode"/>
      <family val="0"/>
    </font>
    <font>
      <b/>
      <sz val="14"/>
      <color indexed="3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38"/>
      <name val="Arial"/>
      <family val="2"/>
    </font>
    <font>
      <b/>
      <sz val="10"/>
      <color indexed="12"/>
      <name val="Arial"/>
      <family val="2"/>
    </font>
    <font>
      <sz val="5.2"/>
      <name val="Arial"/>
      <family val="5"/>
    </font>
    <font>
      <sz val="5.7"/>
      <name val="Arial"/>
      <family val="5"/>
    </font>
    <font>
      <sz val="7.7"/>
      <name val="Arial"/>
      <family val="5"/>
    </font>
    <font>
      <sz val="11.1"/>
      <name val="Arial"/>
      <family val="5"/>
    </font>
    <font>
      <b/>
      <sz val="26"/>
      <color indexed="12"/>
      <name val="Arial"/>
      <family val="2"/>
    </font>
    <font>
      <b/>
      <sz val="14"/>
      <name val="Arial"/>
      <family val="2"/>
    </font>
    <font>
      <sz val="7.4"/>
      <name val="Arial"/>
      <family val="5"/>
    </font>
    <font>
      <sz val="7.2"/>
      <name val="Arial"/>
      <family val="5"/>
    </font>
    <font>
      <sz val="10.9"/>
      <name val="Arial"/>
      <family val="5"/>
    </font>
    <font>
      <sz val="15.9"/>
      <name val="Arial"/>
      <family val="5"/>
    </font>
    <font>
      <sz val="6.9"/>
      <name val="Arial"/>
      <family val="5"/>
    </font>
    <font>
      <sz val="8"/>
      <name val="Arial"/>
      <family val="5"/>
    </font>
    <font>
      <sz val="10.3"/>
      <name val="Arial"/>
      <family val="5"/>
    </font>
    <font>
      <sz val="14.9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Protection="0">
      <alignment vertical="top" wrapText="1"/>
    </xf>
  </cellStyleXfs>
  <cellXfs count="6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1" fillId="0" borderId="0" xfId="0" applyFont="1" applyBorder="1" applyAlignment="1">
      <alignment vertical="top"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horizontal="center" vertical="top"/>
    </xf>
    <xf numFmtId="164" fontId="0" fillId="0" borderId="2" xfId="0" applyFont="1" applyBorder="1" applyAlignment="1">
      <alignment vertical="top" wrapText="1"/>
    </xf>
    <xf numFmtId="164" fontId="0" fillId="0" borderId="2" xfId="20" applyNumberFormat="1" applyFont="1" applyFill="1" applyBorder="1" applyProtection="1">
      <alignment vertical="top" wrapText="1"/>
      <protection/>
    </xf>
    <xf numFmtId="164" fontId="0" fillId="0" borderId="3" xfId="0" applyFont="1" applyBorder="1" applyAlignment="1">
      <alignment vertical="top"/>
    </xf>
    <xf numFmtId="164" fontId="2" fillId="0" borderId="3" xfId="0" applyFont="1" applyBorder="1" applyAlignment="1">
      <alignment vertical="top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 vertical="top"/>
    </xf>
    <xf numFmtId="164" fontId="0" fillId="0" borderId="3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center" wrapText="1"/>
    </xf>
    <xf numFmtId="165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3" xfId="0" applyFont="1" applyBorder="1" applyAlignment="1">
      <alignment wrapText="1"/>
    </xf>
    <xf numFmtId="168" fontId="0" fillId="0" borderId="3" xfId="0" applyNumberFormat="1" applyFont="1" applyBorder="1" applyAlignment="1">
      <alignment horizontal="center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vertical="top"/>
    </xf>
    <xf numFmtId="164" fontId="0" fillId="0" borderId="1" xfId="0" applyFont="1" applyBorder="1" applyAlignment="1">
      <alignment vertical="top" wrapText="1"/>
    </xf>
    <xf numFmtId="169" fontId="4" fillId="0" borderId="1" xfId="0" applyNumberFormat="1" applyFont="1" applyBorder="1" applyAlignment="1">
      <alignment/>
    </xf>
    <xf numFmtId="167" fontId="4" fillId="0" borderId="3" xfId="0" applyNumberFormat="1" applyFont="1" applyBorder="1" applyAlignment="1">
      <alignment vertical="top"/>
    </xf>
    <xf numFmtId="164" fontId="5" fillId="0" borderId="0" xfId="0" applyFont="1" applyBorder="1" applyAlignment="1">
      <alignment/>
    </xf>
    <xf numFmtId="165" fontId="2" fillId="0" borderId="3" xfId="0" applyNumberFormat="1" applyFont="1" applyBorder="1" applyAlignment="1">
      <alignment vertical="top"/>
    </xf>
    <xf numFmtId="164" fontId="0" fillId="0" borderId="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7" fillId="0" borderId="0" xfId="0" applyFont="1" applyBorder="1" applyAlignment="1">
      <alignment vertical="top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vertical="top"/>
    </xf>
    <xf numFmtId="166" fontId="0" fillId="0" borderId="2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4" xfId="0" applyFont="1" applyBorder="1" applyAlignment="1">
      <alignment/>
    </xf>
    <xf numFmtId="164" fontId="11" fillId="0" borderId="4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7" fontId="12" fillId="0" borderId="1" xfId="0" applyNumberFormat="1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2" fillId="0" borderId="1" xfId="0" applyFont="1" applyBorder="1" applyAlignment="1">
      <alignment/>
    </xf>
    <xf numFmtId="164" fontId="0" fillId="0" borderId="9" xfId="0" applyFont="1" applyBorder="1" applyAlignment="1">
      <alignment/>
    </xf>
    <xf numFmtId="170" fontId="13" fillId="0" borderId="1" xfId="0" applyNumberFormat="1" applyFont="1" applyBorder="1" applyAlignment="1">
      <alignment/>
    </xf>
    <xf numFmtId="164" fontId="18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vertical="top" wrapText="1"/>
    </xf>
    <xf numFmtId="167" fontId="0" fillId="0" borderId="0" xfId="0" applyNumberFormat="1" applyAlignment="1">
      <alignment/>
    </xf>
    <xf numFmtId="164" fontId="19" fillId="0" borderId="7" xfId="0" applyFont="1" applyBorder="1" applyAlignment="1">
      <alignment/>
    </xf>
    <xf numFmtId="164" fontId="4" fillId="0" borderId="9" xfId="0" applyFont="1" applyBorder="1" applyAlignment="1">
      <alignment horizontal="left"/>
    </xf>
    <xf numFmtId="164" fontId="4" fillId="0" borderId="9" xfId="0" applyFont="1" applyBorder="1" applyAlignment="1">
      <alignment/>
    </xf>
    <xf numFmtId="164" fontId="4" fillId="0" borderId="7" xfId="0" applyFont="1" applyBorder="1" applyAlignment="1">
      <alignment/>
    </xf>
    <xf numFmtId="164" fontId="19" fillId="0" borderId="0" xfId="0" applyFont="1" applyBorder="1" applyAlignment="1">
      <alignment/>
    </xf>
    <xf numFmtId="166" fontId="0" fillId="0" borderId="1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tour Auto - Gauche - hau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D9D9D9"/>
      <rgbColor rgb="00000080"/>
      <rgbColor rgb="00FF00FF"/>
      <rgbColor rgb="00FFFF00"/>
      <rgbColor rgb="0000FFFF"/>
      <rgbColor rgb="00800080"/>
      <rgbColor rgb="00800000"/>
      <rgbColor rgb="00198A8A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666699"/>
      <rgbColor rgb="009999CC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 Extérieure Réservoir Eau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'Test 1005'!$B$83:$B$86</c:f>
              <c:numCache/>
            </c:numRef>
          </c:cat>
          <c:val>
            <c:numRef>
              <c:f>'Test 1005'!$C$83:$C$86</c:f>
              <c:numCache/>
            </c:numRef>
          </c:val>
          <c:smooth val="0"/>
        </c:ser>
        <c:marker val="1"/>
        <c:axId val="18442620"/>
        <c:axId val="31765853"/>
      </c:lineChart>
      <c:catAx>
        <c:axId val="1844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Durée (mn)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65853"/>
        <c:crossesAt val="0"/>
        <c:auto val="1"/>
        <c:lblOffset val="100"/>
        <c:noMultiLvlLbl val="0"/>
      </c:catAx>
      <c:valAx>
        <c:axId val="31765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 '°C)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2620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 Extérieure Réservoir Eau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'Test du 261005'!$B$21:$B$29</c:f>
              <c:numCache/>
            </c:numRef>
          </c:cat>
          <c:val>
            <c:numRef>
              <c:f>'Test du 261005'!$C$21:$C$29</c:f>
              <c:numCache/>
            </c:numRef>
          </c:val>
          <c:smooth val="0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(mn)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7271"/>
        <c:crossesAt val="0"/>
        <c:auto val="1"/>
        <c:lblOffset val="100"/>
        <c:noMultiLvlLbl val="0"/>
      </c:catAx>
      <c:valAx>
        <c:axId val="2289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(T°C)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722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 Extérieure Réservoir Eau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'Montée en tempèrature '!$B$5:$B$25</c:f>
              <c:numCache/>
            </c:numRef>
          </c:cat>
          <c:val>
            <c:numRef>
              <c:f>'Montée en tempèrature '!$C$5:$C$25</c:f>
              <c:numCache/>
            </c:numRef>
          </c:val>
          <c:smooth val="0"/>
        </c:ser>
        <c:marker val="1"/>
        <c:axId val="4748848"/>
        <c:axId val="42739633"/>
      </c:lineChart>
      <c:catAx>
        <c:axId val="474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Durée (mn)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9633"/>
        <c:crossesAt val="0"/>
        <c:auto val="1"/>
        <c:lblOffset val="100"/>
        <c:noMultiLvlLbl val="0"/>
      </c:catAx>
      <c:valAx>
        <c:axId val="4273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 '°C)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848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 Extérieure Réservoir Eau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'Montée en tempèrature '!$B$33:$B$38</c:f>
              <c:numCache/>
            </c:numRef>
          </c:cat>
          <c:val>
            <c:numRef>
              <c:f>'Montée en tempèrature '!$C$33:$C$38</c:f>
              <c:numCache/>
            </c:numRef>
          </c:val>
          <c:smooth val="0"/>
        </c:ser>
        <c:marker val="1"/>
        <c:axId val="49112378"/>
        <c:axId val="39358219"/>
      </c:lineChart>
      <c:catAx>
        <c:axId val="49112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Durée (mn)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8219"/>
        <c:crossesAt val="0"/>
        <c:auto val="1"/>
        <c:lblOffset val="100"/>
        <c:noMultiLvlLbl val="0"/>
      </c:catAx>
      <c:valAx>
        <c:axId val="3935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 '°C)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2378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 Extérieure Réservoir Eau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'Montée en tempèrature '!$B$61:$B$65</c:f>
              <c:numCache/>
            </c:numRef>
          </c:cat>
          <c:val>
            <c:numRef>
              <c:f>'Montée en tempèrature '!$C$61:$C$65</c:f>
              <c:numCache/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Durée (mn)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99141"/>
        <c:crossesAt val="0"/>
        <c:auto val="1"/>
        <c:lblOffset val="100"/>
        <c:noMultiLvlLbl val="0"/>
      </c:catAx>
      <c:valAx>
        <c:axId val="33899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 '°C)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7965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58</xdr:row>
      <xdr:rowOff>142875</xdr:rowOff>
    </xdr:from>
    <xdr:to>
      <xdr:col>7</xdr:col>
      <xdr:colOff>571500</xdr:colOff>
      <xdr:row>62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3686175" y="13582650"/>
          <a:ext cx="2543175" cy="1076325"/>
          <a:chOff x="6057" y="21814"/>
          <a:chExt cx="4176" cy="169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8425" y="22871"/>
            <a:ext cx="451" cy="412"/>
            <a:chOff x="8425" y="22871"/>
            <a:chExt cx="451" cy="412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8436" y="22873"/>
              <a:ext cx="441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 flipH="1">
              <a:off x="8426" y="22873"/>
              <a:ext cx="445" cy="407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8425" y="23282"/>
              <a:ext cx="451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8431" y="22871"/>
              <a:ext cx="441" cy="41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7"/>
          <xdr:cNvGrpSpPr>
            <a:grpSpLocks/>
          </xdr:cNvGrpSpPr>
        </xdr:nvGrpSpPr>
        <xdr:grpSpPr>
          <a:xfrm>
            <a:off x="7226" y="22888"/>
            <a:ext cx="450" cy="412"/>
            <a:chOff x="7226" y="22888"/>
            <a:chExt cx="450" cy="412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7236" y="22888"/>
              <a:ext cx="441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226" y="22888"/>
              <a:ext cx="446" cy="407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7226" y="23299"/>
              <a:ext cx="450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7231" y="22888"/>
              <a:ext cx="442" cy="41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7226" y="21947"/>
            <a:ext cx="450" cy="413"/>
            <a:chOff x="7226" y="21947"/>
            <a:chExt cx="450" cy="413"/>
          </a:xfrm>
          <a:solidFill>
            <a:srgbClr val="FFFFFF"/>
          </a:solidFill>
        </xdr:grpSpPr>
        <xdr:sp>
          <xdr:nvSpPr>
            <xdr:cNvPr id="13" name="Line 13"/>
            <xdr:cNvSpPr>
              <a:spLocks/>
            </xdr:cNvSpPr>
          </xdr:nvSpPr>
          <xdr:spPr>
            <a:xfrm>
              <a:off x="7236" y="21949"/>
              <a:ext cx="441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 flipH="1">
              <a:off x="7226" y="21949"/>
              <a:ext cx="446" cy="407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 flipH="1">
              <a:off x="7226" y="22359"/>
              <a:ext cx="450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231" y="21947"/>
              <a:ext cx="442" cy="413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17"/>
          <xdr:cNvGrpSpPr>
            <a:grpSpLocks/>
          </xdr:cNvGrpSpPr>
        </xdr:nvGrpSpPr>
        <xdr:grpSpPr>
          <a:xfrm>
            <a:off x="8425" y="21978"/>
            <a:ext cx="451" cy="412"/>
            <a:chOff x="8425" y="21978"/>
            <a:chExt cx="451" cy="412"/>
          </a:xfrm>
          <a:solidFill>
            <a:srgbClr val="FFFFFF"/>
          </a:solidFill>
        </xdr:grpSpPr>
        <xdr:sp>
          <xdr:nvSpPr>
            <xdr:cNvPr id="18" name="Line 18"/>
            <xdr:cNvSpPr>
              <a:spLocks/>
            </xdr:cNvSpPr>
          </xdr:nvSpPr>
          <xdr:spPr>
            <a:xfrm>
              <a:off x="8436" y="21979"/>
              <a:ext cx="441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 flipH="1">
              <a:off x="8426" y="21979"/>
              <a:ext cx="445" cy="407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 flipH="1">
              <a:off x="8425" y="22389"/>
              <a:ext cx="451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8431" y="21978"/>
              <a:ext cx="441" cy="41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22"/>
          <xdr:cNvGrpSpPr>
            <a:grpSpLocks/>
          </xdr:cNvGrpSpPr>
        </xdr:nvGrpSpPr>
        <xdr:grpSpPr>
          <a:xfrm>
            <a:off x="6057" y="22394"/>
            <a:ext cx="451" cy="412"/>
            <a:chOff x="6057" y="22394"/>
            <a:chExt cx="451" cy="412"/>
          </a:xfrm>
          <a:solidFill>
            <a:srgbClr val="FFFFFF"/>
          </a:solidFill>
        </xdr:grpSpPr>
        <xdr:sp>
          <xdr:nvSpPr>
            <xdr:cNvPr id="23" name="Line 23"/>
            <xdr:cNvSpPr>
              <a:spLocks/>
            </xdr:cNvSpPr>
          </xdr:nvSpPr>
          <xdr:spPr>
            <a:xfrm>
              <a:off x="6067" y="22394"/>
              <a:ext cx="441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 flipH="1">
              <a:off x="6057" y="22394"/>
              <a:ext cx="446" cy="407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 flipH="1">
              <a:off x="6057" y="22804"/>
              <a:ext cx="451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6062" y="22394"/>
              <a:ext cx="442" cy="41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" name="Group 27"/>
          <xdr:cNvGrpSpPr>
            <a:grpSpLocks/>
          </xdr:cNvGrpSpPr>
        </xdr:nvGrpSpPr>
        <xdr:grpSpPr>
          <a:xfrm>
            <a:off x="9520" y="22380"/>
            <a:ext cx="451" cy="412"/>
            <a:chOff x="9520" y="22380"/>
            <a:chExt cx="451" cy="412"/>
          </a:xfrm>
          <a:solidFill>
            <a:srgbClr val="FFFFFF"/>
          </a:solidFill>
        </xdr:grpSpPr>
        <xdr:sp>
          <xdr:nvSpPr>
            <xdr:cNvPr id="28" name="Line 28"/>
            <xdr:cNvSpPr>
              <a:spLocks/>
            </xdr:cNvSpPr>
          </xdr:nvSpPr>
          <xdr:spPr>
            <a:xfrm>
              <a:off x="9530" y="22380"/>
              <a:ext cx="441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 flipH="1">
              <a:off x="9520" y="22380"/>
              <a:ext cx="446" cy="407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 flipH="1">
              <a:off x="9520" y="22791"/>
              <a:ext cx="449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9526" y="22380"/>
              <a:ext cx="441" cy="412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" name="Line 32"/>
          <xdr:cNvSpPr>
            <a:spLocks/>
          </xdr:cNvSpPr>
        </xdr:nvSpPr>
        <xdr:spPr>
          <a:xfrm flipV="1">
            <a:off x="7453" y="21814"/>
            <a:ext cx="369" cy="352"/>
          </a:xfrm>
          <a:prstGeom prst="line">
            <a:avLst/>
          </a:prstGeom>
          <a:noFill/>
          <a:ln w="36000" cmpd="sng">
            <a:solidFill>
              <a:srgbClr val="DC2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8308" y="22137"/>
            <a:ext cx="369" cy="352"/>
          </a:xfrm>
          <a:prstGeom prst="line">
            <a:avLst/>
          </a:prstGeom>
          <a:noFill/>
          <a:ln w="36000" cmpd="sng">
            <a:solidFill>
              <a:srgbClr val="DC2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V="1">
            <a:off x="8678" y="23047"/>
            <a:ext cx="0" cy="459"/>
          </a:xfrm>
          <a:prstGeom prst="line">
            <a:avLst/>
          </a:prstGeom>
          <a:noFill/>
          <a:ln w="36000" cmpd="sng">
            <a:solidFill>
              <a:srgbClr val="DC2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6285" y="22538"/>
            <a:ext cx="0" cy="460"/>
          </a:xfrm>
          <a:prstGeom prst="line">
            <a:avLst/>
          </a:prstGeom>
          <a:noFill/>
          <a:ln w="36000" cmpd="sng">
            <a:solidFill>
              <a:srgbClr val="DC2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9736" y="22338"/>
            <a:ext cx="497" cy="199"/>
          </a:xfrm>
          <a:prstGeom prst="line">
            <a:avLst/>
          </a:prstGeom>
          <a:noFill/>
          <a:ln w="36000" cmpd="sng">
            <a:solidFill>
              <a:srgbClr val="DC2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7431" y="23047"/>
            <a:ext cx="0" cy="459"/>
          </a:xfrm>
          <a:prstGeom prst="line">
            <a:avLst/>
          </a:prstGeom>
          <a:noFill/>
          <a:ln w="36000" cmpd="sng">
            <a:solidFill>
              <a:srgbClr val="DC2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409575</xdr:colOff>
      <xdr:row>80</xdr:row>
      <xdr:rowOff>47625</xdr:rowOff>
    </xdr:from>
    <xdr:to>
      <xdr:col>10</xdr:col>
      <xdr:colOff>276225</xdr:colOff>
      <xdr:row>93</xdr:row>
      <xdr:rowOff>133350</xdr:rowOff>
    </xdr:to>
    <xdr:graphicFrame>
      <xdr:nvGraphicFramePr>
        <xdr:cNvPr id="38" name="Chart 38"/>
        <xdr:cNvGraphicFramePr/>
      </xdr:nvGraphicFramePr>
      <xdr:xfrm>
        <a:off x="5038725" y="17973675"/>
        <a:ext cx="36957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19</xdr:row>
      <xdr:rowOff>9525</xdr:rowOff>
    </xdr:from>
    <xdr:to>
      <xdr:col>9</xdr:col>
      <xdr:colOff>247650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3152775" y="3848100"/>
        <a:ext cx="49911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85725</xdr:rowOff>
    </xdr:from>
    <xdr:to>
      <xdr:col>10</xdr:col>
      <xdr:colOff>47625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676525" y="1009650"/>
        <a:ext cx="49720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32</xdr:row>
      <xdr:rowOff>19050</xdr:rowOff>
    </xdr:from>
    <xdr:to>
      <xdr:col>9</xdr:col>
      <xdr:colOff>695325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2571750" y="5314950"/>
        <a:ext cx="4972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59</xdr:row>
      <xdr:rowOff>152400</xdr:rowOff>
    </xdr:from>
    <xdr:to>
      <xdr:col>9</xdr:col>
      <xdr:colOff>714375</xdr:colOff>
      <xdr:row>77</xdr:row>
      <xdr:rowOff>114300</xdr:rowOff>
    </xdr:to>
    <xdr:graphicFrame>
      <xdr:nvGraphicFramePr>
        <xdr:cNvPr id="3" name="Chart 3"/>
        <xdr:cNvGraphicFramePr/>
      </xdr:nvGraphicFramePr>
      <xdr:xfrm>
        <a:off x="2590800" y="9934575"/>
        <a:ext cx="49720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7"/>
  <sheetViews>
    <sheetView tabSelected="1" zoomScale="80" zoomScaleNormal="80" workbookViewId="0" topLeftCell="A1">
      <selection activeCell="E88" sqref="E88"/>
    </sheetView>
  </sheetViews>
  <sheetFormatPr defaultColWidth="11.421875" defaultRowHeight="12.75"/>
  <cols>
    <col min="1" max="1" width="8.7109375" style="0" customWidth="1"/>
    <col min="2" max="2" width="21.140625" style="0" customWidth="1"/>
    <col min="3" max="3" width="8.421875" style="0" customWidth="1"/>
    <col min="4" max="4" width="4.00390625" style="0" customWidth="1"/>
    <col min="5" max="5" width="9.00390625" style="0" customWidth="1"/>
    <col min="6" max="6" width="18.140625" style="0" customWidth="1"/>
    <col min="7" max="7" width="15.421875" style="0" customWidth="1"/>
    <col min="8" max="8" width="14.57421875" style="0" customWidth="1"/>
    <col min="9" max="9" width="13.57421875" style="0" customWidth="1"/>
    <col min="10" max="10" width="13.8515625" style="0" customWidth="1"/>
    <col min="11" max="11" width="14.00390625" style="0" customWidth="1"/>
    <col min="12" max="12" width="13.140625" style="0" customWidth="1"/>
    <col min="13" max="16384" width="11.140625" style="0" customWidth="1"/>
  </cols>
  <sheetData>
    <row r="1" s="1" customFormat="1" ht="12.75">
      <c r="A1" s="1" t="s">
        <v>0</v>
      </c>
    </row>
    <row r="2" spans="2:7" s="1" customFormat="1" ht="12.75">
      <c r="B2" s="2" t="s">
        <v>1</v>
      </c>
      <c r="C2" s="2">
        <v>40</v>
      </c>
      <c r="D2" s="2" t="s">
        <v>2</v>
      </c>
      <c r="E2" s="2" t="s">
        <v>3</v>
      </c>
      <c r="F2" s="2">
        <v>1</v>
      </c>
      <c r="G2" s="2" t="s">
        <v>4</v>
      </c>
    </row>
    <row r="3" spans="2:4" s="1" customFormat="1" ht="12.75">
      <c r="B3" s="2" t="s">
        <v>5</v>
      </c>
      <c r="C3" s="3">
        <v>1.25</v>
      </c>
      <c r="D3" s="2" t="s">
        <v>6</v>
      </c>
    </row>
    <row r="4" s="1" customFormat="1" ht="21" customHeight="1">
      <c r="A4" s="4" t="s">
        <v>7</v>
      </c>
    </row>
    <row r="5" spans="2:12" s="1" customFormat="1" ht="27" customHeight="1">
      <c r="B5" s="5" t="s">
        <v>8</v>
      </c>
      <c r="C5" s="6" t="s">
        <v>9</v>
      </c>
      <c r="D5" s="6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7" t="s">
        <v>15</v>
      </c>
      <c r="J5" s="7" t="s">
        <v>15</v>
      </c>
      <c r="K5" s="7" t="s">
        <v>16</v>
      </c>
      <c r="L5" s="7" t="s">
        <v>17</v>
      </c>
    </row>
    <row r="6" spans="1:12" s="1" customFormat="1" ht="24.75" customHeight="1">
      <c r="A6" s="9" t="s">
        <v>18</v>
      </c>
      <c r="B6" s="9" t="s">
        <v>19</v>
      </c>
      <c r="C6" s="10">
        <f>K158</f>
        <v>0.7142857142857143</v>
      </c>
      <c r="D6" s="11"/>
      <c r="E6" s="12" t="s">
        <v>20</v>
      </c>
      <c r="F6" s="12" t="s">
        <v>2</v>
      </c>
      <c r="G6" s="12" t="s">
        <v>2</v>
      </c>
      <c r="H6" s="13" t="s">
        <v>2</v>
      </c>
      <c r="I6" s="14" t="s">
        <v>21</v>
      </c>
      <c r="J6" s="13" t="s">
        <v>22</v>
      </c>
      <c r="K6" s="13" t="s">
        <v>23</v>
      </c>
      <c r="L6" s="13" t="s">
        <v>24</v>
      </c>
    </row>
    <row r="7" spans="2:12" s="1" customFormat="1" ht="12.75">
      <c r="B7" s="11" t="s">
        <v>25</v>
      </c>
      <c r="C7" s="15">
        <v>11.6</v>
      </c>
      <c r="D7" s="11" t="s">
        <v>26</v>
      </c>
      <c r="E7" s="11">
        <v>15</v>
      </c>
      <c r="F7" s="16">
        <v>40</v>
      </c>
      <c r="G7" s="11">
        <f>40-4.5</f>
        <v>35.5</v>
      </c>
      <c r="H7" s="11">
        <f>F7-G7</f>
        <v>4.5</v>
      </c>
      <c r="I7" s="17">
        <f>1/(C2/H7)</f>
        <v>0.11249999999999999</v>
      </c>
      <c r="J7" s="18">
        <f>I7*(60/E7)</f>
        <v>0.44999999999999996</v>
      </c>
      <c r="K7" s="17">
        <f>(1000/C10)*J7</f>
        <v>2.0158400229357794</v>
      </c>
      <c r="L7" s="11"/>
    </row>
    <row r="8" spans="2:11" s="1" customFormat="1" ht="12.75">
      <c r="B8" s="11" t="s">
        <v>27</v>
      </c>
      <c r="C8" s="15">
        <v>11.952</v>
      </c>
      <c r="D8" s="11" t="s">
        <v>26</v>
      </c>
      <c r="F8" s="19"/>
      <c r="I8" s="20"/>
      <c r="J8" s="20"/>
      <c r="K8" s="20"/>
    </row>
    <row r="9" spans="2:11" s="1" customFormat="1" ht="12.75">
      <c r="B9" s="11" t="s">
        <v>28</v>
      </c>
      <c r="C9" s="15">
        <v>4</v>
      </c>
      <c r="D9" s="11" t="s">
        <v>29</v>
      </c>
      <c r="K9" s="11" t="s">
        <v>30</v>
      </c>
    </row>
    <row r="10" spans="2:11" s="1" customFormat="1" ht="12.75">
      <c r="B10" s="11" t="s">
        <v>31</v>
      </c>
      <c r="C10" s="16">
        <f>200+((C8-C7)*66)</f>
        <v>223.23200000000003</v>
      </c>
      <c r="D10" s="11" t="s">
        <v>32</v>
      </c>
      <c r="K10" s="13" t="s">
        <v>33</v>
      </c>
    </row>
    <row r="11" spans="2:11" s="1" customFormat="1" ht="24.75">
      <c r="B11" s="21" t="s">
        <v>34</v>
      </c>
      <c r="C11" s="9">
        <v>100</v>
      </c>
      <c r="D11" s="9" t="s">
        <v>24</v>
      </c>
      <c r="K11" s="22">
        <f>K7*$C$3</f>
        <v>2.5198000286697244</v>
      </c>
    </row>
    <row r="12" spans="2:4" s="1" customFormat="1" ht="24.75">
      <c r="B12" s="21" t="s">
        <v>35</v>
      </c>
      <c r="C12" s="9">
        <v>100</v>
      </c>
      <c r="D12" s="9" t="s">
        <v>24</v>
      </c>
    </row>
    <row r="13" spans="2:4" s="1" customFormat="1" ht="24.75">
      <c r="B13" s="21" t="s">
        <v>36</v>
      </c>
      <c r="C13" s="9">
        <v>0</v>
      </c>
      <c r="D13" s="9" t="s">
        <v>24</v>
      </c>
    </row>
    <row r="14" spans="2:4" s="1" customFormat="1" ht="12.75">
      <c r="B14" s="21" t="s">
        <v>37</v>
      </c>
      <c r="C14" s="9">
        <v>5</v>
      </c>
      <c r="D14" s="9" t="s">
        <v>24</v>
      </c>
    </row>
    <row r="15" spans="1:4" s="1" customFormat="1" ht="21" customHeight="1">
      <c r="A15" s="4" t="s">
        <v>7</v>
      </c>
      <c r="B15" s="23"/>
      <c r="C15" s="24"/>
      <c r="D15" s="24"/>
    </row>
    <row r="16" spans="2:12" s="1" customFormat="1" ht="27" customHeight="1">
      <c r="B16" s="5" t="s">
        <v>8</v>
      </c>
      <c r="C16" s="6" t="s">
        <v>9</v>
      </c>
      <c r="D16" s="6" t="s">
        <v>10</v>
      </c>
      <c r="E16" s="7" t="s">
        <v>11</v>
      </c>
      <c r="F16" s="7" t="s">
        <v>12</v>
      </c>
      <c r="G16" s="7" t="s">
        <v>13</v>
      </c>
      <c r="H16" s="8" t="s">
        <v>14</v>
      </c>
      <c r="I16" s="7" t="s">
        <v>15</v>
      </c>
      <c r="J16" s="7" t="s">
        <v>15</v>
      </c>
      <c r="K16" s="7" t="s">
        <v>16</v>
      </c>
      <c r="L16" s="7" t="s">
        <v>17</v>
      </c>
    </row>
    <row r="17" spans="1:12" s="1" customFormat="1" ht="24.75">
      <c r="A17" s="9" t="s">
        <v>38</v>
      </c>
      <c r="B17" s="9" t="s">
        <v>19</v>
      </c>
      <c r="C17" s="10">
        <f>K158</f>
        <v>0.7142857142857143</v>
      </c>
      <c r="D17" s="11"/>
      <c r="E17" s="12" t="s">
        <v>20</v>
      </c>
      <c r="F17" s="12" t="s">
        <v>2</v>
      </c>
      <c r="G17" s="12" t="s">
        <v>2</v>
      </c>
      <c r="H17" s="13" t="s">
        <v>2</v>
      </c>
      <c r="I17" s="14" t="s">
        <v>21</v>
      </c>
      <c r="J17" s="13" t="s">
        <v>22</v>
      </c>
      <c r="K17" s="13" t="s">
        <v>23</v>
      </c>
      <c r="L17" s="13" t="s">
        <v>24</v>
      </c>
    </row>
    <row r="18" spans="2:12" s="1" customFormat="1" ht="12.75">
      <c r="B18" s="11" t="s">
        <v>25</v>
      </c>
      <c r="C18" s="15">
        <v>11.8</v>
      </c>
      <c r="D18" s="11" t="s">
        <v>26</v>
      </c>
      <c r="E18" s="11">
        <v>15</v>
      </c>
      <c r="F18" s="16">
        <f>40-13</f>
        <v>27</v>
      </c>
      <c r="G18" s="11">
        <f>40-16.7</f>
        <v>23.3</v>
      </c>
      <c r="H18" s="11">
        <f>F18-G18</f>
        <v>3.6999999999999993</v>
      </c>
      <c r="I18" s="17">
        <f>1/(C2/H18)</f>
        <v>0.09249999999999999</v>
      </c>
      <c r="J18" s="18">
        <f>I18*(60/E18)</f>
        <v>0.36999999999999994</v>
      </c>
      <c r="K18" s="17">
        <f>(1000/C21)*J18</f>
        <v>1.6833484986351233</v>
      </c>
      <c r="L18" s="11">
        <f>100-(K18*100)/K7</f>
        <v>16.49394398948536</v>
      </c>
    </row>
    <row r="19" spans="2:11" s="1" customFormat="1" ht="12.75">
      <c r="B19" s="11" t="s">
        <v>27</v>
      </c>
      <c r="C19" s="15">
        <v>12.1</v>
      </c>
      <c r="D19" s="11" t="s">
        <v>26</v>
      </c>
      <c r="F19" s="19"/>
      <c r="I19" s="20"/>
      <c r="J19" s="20"/>
      <c r="K19" s="20"/>
    </row>
    <row r="20" spans="2:11" s="1" customFormat="1" ht="12.75">
      <c r="B20" s="11" t="s">
        <v>28</v>
      </c>
      <c r="C20" s="11">
        <f>3+(1/(C2/F18))</f>
        <v>3.675</v>
      </c>
      <c r="D20" s="11" t="s">
        <v>29</v>
      </c>
      <c r="K20" s="11" t="s">
        <v>30</v>
      </c>
    </row>
    <row r="21" spans="2:11" s="1" customFormat="1" ht="12.75">
      <c r="B21" s="11" t="s">
        <v>31</v>
      </c>
      <c r="C21" s="11">
        <f>200+((C19-C18)*66)</f>
        <v>219.79999999999993</v>
      </c>
      <c r="D21" s="11" t="s">
        <v>32</v>
      </c>
      <c r="K21" s="13" t="s">
        <v>33</v>
      </c>
    </row>
    <row r="22" spans="2:11" s="1" customFormat="1" ht="24.75">
      <c r="B22" s="21" t="s">
        <v>34</v>
      </c>
      <c r="C22" s="9">
        <v>100</v>
      </c>
      <c r="D22" s="9" t="s">
        <v>24</v>
      </c>
      <c r="K22" s="22">
        <f>K18*$C$3</f>
        <v>2.1041856232939042</v>
      </c>
    </row>
    <row r="23" spans="2:4" s="1" customFormat="1" ht="24.75">
      <c r="B23" s="21" t="s">
        <v>35</v>
      </c>
      <c r="C23" s="9">
        <v>100</v>
      </c>
      <c r="D23" s="9" t="s">
        <v>24</v>
      </c>
    </row>
    <row r="24" spans="2:10" s="1" customFormat="1" ht="24.75">
      <c r="B24" s="21" t="s">
        <v>36</v>
      </c>
      <c r="C24" s="9">
        <v>100</v>
      </c>
      <c r="D24" s="9" t="s">
        <v>24</v>
      </c>
      <c r="J24" s="25" t="s">
        <v>39</v>
      </c>
    </row>
    <row r="25" spans="2:10" s="1" customFormat="1" ht="12.75">
      <c r="B25" s="21" t="s">
        <v>37</v>
      </c>
      <c r="C25" s="9">
        <v>0</v>
      </c>
      <c r="D25" s="9" t="s">
        <v>24</v>
      </c>
      <c r="J25" s="26">
        <f>C26/J18</f>
        <v>0.04054054054054054</v>
      </c>
    </row>
    <row r="26" spans="2:4" s="1" customFormat="1" ht="12.75">
      <c r="B26" s="21" t="s">
        <v>40</v>
      </c>
      <c r="C26" s="27">
        <f>1*1*0.015</f>
        <v>0.015</v>
      </c>
      <c r="D26" s="9" t="s">
        <v>29</v>
      </c>
    </row>
    <row r="27" s="1" customFormat="1" ht="12.75">
      <c r="B27" s="28" t="s">
        <v>41</v>
      </c>
    </row>
    <row r="28" s="1" customFormat="1" ht="23.25" customHeight="1">
      <c r="A28" s="4" t="s">
        <v>7</v>
      </c>
    </row>
    <row r="29" spans="2:12" s="1" customFormat="1" ht="27" customHeight="1">
      <c r="B29" s="5" t="s">
        <v>8</v>
      </c>
      <c r="C29" s="6" t="s">
        <v>9</v>
      </c>
      <c r="D29" s="6" t="s">
        <v>10</v>
      </c>
      <c r="E29" s="7" t="s">
        <v>11</v>
      </c>
      <c r="F29" s="7" t="s">
        <v>12</v>
      </c>
      <c r="G29" s="7" t="s">
        <v>13</v>
      </c>
      <c r="H29" s="8" t="s">
        <v>14</v>
      </c>
      <c r="I29" s="7" t="s">
        <v>15</v>
      </c>
      <c r="J29" s="7" t="s">
        <v>15</v>
      </c>
      <c r="K29" s="7" t="s">
        <v>16</v>
      </c>
      <c r="L29" s="7" t="s">
        <v>17</v>
      </c>
    </row>
    <row r="30" spans="1:12" s="1" customFormat="1" ht="24.75">
      <c r="A30" s="9" t="s">
        <v>42</v>
      </c>
      <c r="B30" s="9" t="s">
        <v>19</v>
      </c>
      <c r="C30" s="29">
        <f>K156</f>
        <v>0.5952380952380952</v>
      </c>
      <c r="D30" s="11"/>
      <c r="E30" s="12" t="s">
        <v>20</v>
      </c>
      <c r="F30" s="12" t="s">
        <v>2</v>
      </c>
      <c r="G30" s="12" t="s">
        <v>2</v>
      </c>
      <c r="H30" s="13" t="s">
        <v>2</v>
      </c>
      <c r="I30" s="14" t="s">
        <v>21</v>
      </c>
      <c r="J30" s="13" t="s">
        <v>22</v>
      </c>
      <c r="K30" s="13" t="s">
        <v>23</v>
      </c>
      <c r="L30" s="13" t="s">
        <v>24</v>
      </c>
    </row>
    <row r="31" spans="2:12" s="1" customFormat="1" ht="12.75">
      <c r="B31" s="11" t="s">
        <v>25</v>
      </c>
      <c r="C31" s="30">
        <v>10.29</v>
      </c>
      <c r="D31" s="11" t="s">
        <v>26</v>
      </c>
      <c r="E31" s="11">
        <v>15</v>
      </c>
      <c r="F31" s="16">
        <v>40</v>
      </c>
      <c r="G31" s="16">
        <v>36</v>
      </c>
      <c r="H31" s="16">
        <f>F31-G31</f>
        <v>4</v>
      </c>
      <c r="I31" s="17">
        <f>1/(C2/H31)</f>
        <v>0.1</v>
      </c>
      <c r="J31" s="18">
        <f>I31*(60/E31)</f>
        <v>0.4</v>
      </c>
      <c r="K31" s="17">
        <f>(1000/C34)*J31</f>
        <v>1.3348461589801779</v>
      </c>
      <c r="L31" s="15">
        <f>100-(K31*100)/K7</f>
        <v>33.78213827523042</v>
      </c>
    </row>
    <row r="32" spans="2:11" s="1" customFormat="1" ht="12.75">
      <c r="B32" s="11" t="s">
        <v>27</v>
      </c>
      <c r="C32" s="15">
        <v>11.8</v>
      </c>
      <c r="D32" s="11" t="s">
        <v>26</v>
      </c>
      <c r="F32" s="19"/>
      <c r="I32" s="20"/>
      <c r="J32" s="20"/>
      <c r="K32" s="20"/>
    </row>
    <row r="33" spans="2:11" s="1" customFormat="1" ht="12.75">
      <c r="B33" s="11" t="s">
        <v>28</v>
      </c>
      <c r="C33" s="11">
        <v>4</v>
      </c>
      <c r="D33" s="11" t="s">
        <v>29</v>
      </c>
      <c r="K33" s="11" t="s">
        <v>30</v>
      </c>
    </row>
    <row r="34" spans="2:11" s="1" customFormat="1" ht="12.75">
      <c r="B34" s="11" t="s">
        <v>31</v>
      </c>
      <c r="C34" s="11">
        <f>200+((C32-C31)*66)</f>
        <v>299.65999999999997</v>
      </c>
      <c r="D34" s="11" t="s">
        <v>32</v>
      </c>
      <c r="K34" s="13" t="s">
        <v>33</v>
      </c>
    </row>
    <row r="35" spans="2:11" s="1" customFormat="1" ht="24.75">
      <c r="B35" s="21" t="s">
        <v>34</v>
      </c>
      <c r="C35" s="9">
        <v>100</v>
      </c>
      <c r="D35" s="9" t="s">
        <v>24</v>
      </c>
      <c r="K35" s="22">
        <f>K31*$C$3</f>
        <v>1.6685576987252224</v>
      </c>
    </row>
    <row r="36" spans="2:4" s="1" customFormat="1" ht="24.75">
      <c r="B36" s="21" t="s">
        <v>35</v>
      </c>
      <c r="C36" s="9">
        <v>100</v>
      </c>
      <c r="D36" s="9" t="s">
        <v>24</v>
      </c>
    </row>
    <row r="37" spans="2:4" s="1" customFormat="1" ht="24.75">
      <c r="B37" s="21" t="s">
        <v>36</v>
      </c>
      <c r="C37" s="9">
        <v>25</v>
      </c>
      <c r="D37" s="9" t="s">
        <v>24</v>
      </c>
    </row>
    <row r="38" spans="2:4" s="1" customFormat="1" ht="12.75">
      <c r="B38" s="21" t="s">
        <v>37</v>
      </c>
      <c r="C38" s="9">
        <v>0</v>
      </c>
      <c r="D38" s="9" t="s">
        <v>24</v>
      </c>
    </row>
    <row r="39" spans="2:4" s="1" customFormat="1" ht="12.75">
      <c r="B39" s="21"/>
      <c r="C39" s="9"/>
      <c r="D39" s="9"/>
    </row>
    <row r="40" s="1" customFormat="1" ht="12.75"/>
    <row r="41" s="1" customFormat="1" ht="21" customHeight="1">
      <c r="A41" s="4" t="s">
        <v>7</v>
      </c>
    </row>
    <row r="42" spans="2:12" s="1" customFormat="1" ht="27" customHeight="1">
      <c r="B42" s="5" t="s">
        <v>8</v>
      </c>
      <c r="C42" s="6" t="s">
        <v>9</v>
      </c>
      <c r="D42" s="6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7" t="s">
        <v>15</v>
      </c>
      <c r="J42" s="7" t="s">
        <v>15</v>
      </c>
      <c r="K42" s="7" t="s">
        <v>16</v>
      </c>
      <c r="L42" s="7" t="s">
        <v>17</v>
      </c>
    </row>
    <row r="43" spans="1:12" s="1" customFormat="1" ht="24.75">
      <c r="A43" s="9" t="s">
        <v>43</v>
      </c>
      <c r="B43" s="9" t="s">
        <v>19</v>
      </c>
      <c r="C43" s="29" t="str">
        <f>K143</f>
        <v>En €</v>
      </c>
      <c r="D43" s="11"/>
      <c r="E43" s="12" t="s">
        <v>20</v>
      </c>
      <c r="F43" s="12" t="s">
        <v>2</v>
      </c>
      <c r="G43" s="12" t="s">
        <v>2</v>
      </c>
      <c r="H43" s="13" t="s">
        <v>2</v>
      </c>
      <c r="I43" s="14" t="s">
        <v>21</v>
      </c>
      <c r="J43" s="13" t="s">
        <v>22</v>
      </c>
      <c r="K43" s="13" t="s">
        <v>23</v>
      </c>
      <c r="L43" s="13" t="s">
        <v>24</v>
      </c>
    </row>
    <row r="44" spans="2:12" s="1" customFormat="1" ht="12.75">
      <c r="B44" s="11" t="s">
        <v>25</v>
      </c>
      <c r="C44" s="30">
        <v>10.29</v>
      </c>
      <c r="D44" s="11" t="s">
        <v>26</v>
      </c>
      <c r="E44" s="11">
        <v>15</v>
      </c>
      <c r="F44" s="16">
        <f>40-18</f>
        <v>22</v>
      </c>
      <c r="G44" s="16">
        <f>40-22</f>
        <v>18</v>
      </c>
      <c r="H44" s="16">
        <f>F44-G44</f>
        <v>4</v>
      </c>
      <c r="I44" s="17">
        <f>1/(C2/H44)</f>
        <v>0.1</v>
      </c>
      <c r="J44" s="18">
        <f>I44*(60/E44)</f>
        <v>0.4</v>
      </c>
      <c r="K44" s="17">
        <f>(1000/C47)*J44</f>
        <v>2</v>
      </c>
      <c r="L44" s="15">
        <f>100-(K44*100)/K7</f>
        <v>0.7857777777777528</v>
      </c>
    </row>
    <row r="45" spans="2:11" s="1" customFormat="1" ht="12.75">
      <c r="B45" s="11" t="s">
        <v>27</v>
      </c>
      <c r="C45" s="15">
        <v>12</v>
      </c>
      <c r="D45" s="11" t="s">
        <v>26</v>
      </c>
      <c r="F45" s="19"/>
      <c r="I45" s="20"/>
      <c r="J45" s="20"/>
      <c r="K45" s="20"/>
    </row>
    <row r="46" spans="2:11" s="1" customFormat="1" ht="12.75">
      <c r="B46" s="11" t="s">
        <v>28</v>
      </c>
      <c r="C46" s="11">
        <f>3+(1/(C2/F44))</f>
        <v>3.55</v>
      </c>
      <c r="D46" s="11" t="s">
        <v>29</v>
      </c>
      <c r="K46" s="11" t="s">
        <v>30</v>
      </c>
    </row>
    <row r="47" spans="2:11" s="1" customFormat="1" ht="12.75">
      <c r="B47" s="11" t="s">
        <v>31</v>
      </c>
      <c r="C47" s="11">
        <v>200</v>
      </c>
      <c r="D47" s="11" t="s">
        <v>32</v>
      </c>
      <c r="K47" s="13" t="s">
        <v>33</v>
      </c>
    </row>
    <row r="48" spans="2:11" s="1" customFormat="1" ht="24.75">
      <c r="B48" s="21" t="s">
        <v>34</v>
      </c>
      <c r="C48" s="9">
        <v>100</v>
      </c>
      <c r="D48" s="9" t="s">
        <v>24</v>
      </c>
      <c r="H48" s="31"/>
      <c r="I48" s="32"/>
      <c r="K48" s="22">
        <f>K44*$C$3</f>
        <v>2.5</v>
      </c>
    </row>
    <row r="49" spans="2:4" s="1" customFormat="1" ht="24.75">
      <c r="B49" s="21" t="s">
        <v>35</v>
      </c>
      <c r="C49" s="9">
        <v>100</v>
      </c>
      <c r="D49" s="9" t="s">
        <v>24</v>
      </c>
    </row>
    <row r="50" spans="2:4" s="1" customFormat="1" ht="24.75">
      <c r="B50" s="21" t="s">
        <v>36</v>
      </c>
      <c r="C50" s="9">
        <v>100</v>
      </c>
      <c r="D50" s="9" t="s">
        <v>24</v>
      </c>
    </row>
    <row r="51" spans="2:4" s="1" customFormat="1" ht="12.75">
      <c r="B51" s="21" t="s">
        <v>37</v>
      </c>
      <c r="C51" s="9">
        <v>0</v>
      </c>
      <c r="D51" s="9" t="s">
        <v>24</v>
      </c>
    </row>
    <row r="52" s="1" customFormat="1" ht="12.75">
      <c r="B52" s="28" t="s">
        <v>44</v>
      </c>
    </row>
    <row r="53" s="1" customFormat="1" ht="12.75"/>
    <row r="54" s="1" customFormat="1" ht="21" customHeight="1">
      <c r="A54" s="4" t="s">
        <v>7</v>
      </c>
    </row>
    <row r="55" spans="2:12" s="1" customFormat="1" ht="27" customHeight="1">
      <c r="B55" s="5" t="s">
        <v>8</v>
      </c>
      <c r="C55" s="6" t="s">
        <v>9</v>
      </c>
      <c r="D55" s="6" t="s">
        <v>10</v>
      </c>
      <c r="E55" s="7" t="s">
        <v>11</v>
      </c>
      <c r="F55" s="7" t="s">
        <v>12</v>
      </c>
      <c r="G55" s="7" t="s">
        <v>13</v>
      </c>
      <c r="H55" s="8" t="s">
        <v>14</v>
      </c>
      <c r="I55" s="7" t="s">
        <v>15</v>
      </c>
      <c r="J55" s="7" t="s">
        <v>15</v>
      </c>
      <c r="K55" s="7" t="s">
        <v>16</v>
      </c>
      <c r="L55" s="7" t="s">
        <v>17</v>
      </c>
    </row>
    <row r="56" spans="1:12" s="1" customFormat="1" ht="24.75">
      <c r="A56" s="9" t="s">
        <v>45</v>
      </c>
      <c r="B56" s="9" t="s">
        <v>19</v>
      </c>
      <c r="C56" s="29">
        <f>K157</f>
        <v>0.31746031746031744</v>
      </c>
      <c r="D56" s="11"/>
      <c r="E56" s="12" t="s">
        <v>20</v>
      </c>
      <c r="F56" s="12" t="s">
        <v>2</v>
      </c>
      <c r="G56" s="12" t="s">
        <v>2</v>
      </c>
      <c r="H56" s="13" t="s">
        <v>2</v>
      </c>
      <c r="I56" s="14" t="s">
        <v>21</v>
      </c>
      <c r="J56" s="13" t="s">
        <v>22</v>
      </c>
      <c r="K56" s="13" t="s">
        <v>23</v>
      </c>
      <c r="L56" s="13" t="s">
        <v>24</v>
      </c>
    </row>
    <row r="57" spans="2:12" s="1" customFormat="1" ht="12.75">
      <c r="B57" s="11" t="s">
        <v>46</v>
      </c>
      <c r="C57" s="15">
        <v>8.5</v>
      </c>
      <c r="D57" s="11" t="s">
        <v>26</v>
      </c>
      <c r="E57" s="11">
        <v>15</v>
      </c>
      <c r="F57" s="16">
        <f>40</f>
        <v>40</v>
      </c>
      <c r="G57" s="16">
        <f>40-3.8</f>
        <v>36.2</v>
      </c>
      <c r="H57" s="16">
        <f>F57-G57</f>
        <v>3.799999999999997</v>
      </c>
      <c r="I57" s="17">
        <f>1/(C2/H57)</f>
        <v>0.09499999999999993</v>
      </c>
      <c r="J57" s="18">
        <f>I57*(60/E57)</f>
        <v>0.3799999999999997</v>
      </c>
      <c r="K57" s="17">
        <f>(1000/C59)*J57</f>
        <v>4.470588235294115</v>
      </c>
      <c r="L57" s="15">
        <f>100-(K57*100)/K7</f>
        <v>-121.77296732026136</v>
      </c>
    </row>
    <row r="58" spans="2:11" s="1" customFormat="1" ht="12.75">
      <c r="B58" s="11" t="s">
        <v>28</v>
      </c>
      <c r="C58" s="15">
        <f>3+(1/(C2/F57))</f>
        <v>4</v>
      </c>
      <c r="D58" s="11" t="s">
        <v>29</v>
      </c>
      <c r="F58" s="19"/>
      <c r="I58" s="20"/>
      <c r="J58" s="20"/>
      <c r="K58" s="20"/>
    </row>
    <row r="59" spans="2:11" s="1" customFormat="1" ht="12.75">
      <c r="B59" s="11" t="s">
        <v>31</v>
      </c>
      <c r="C59" s="11">
        <f>8.5*10</f>
        <v>85</v>
      </c>
      <c r="D59" s="11" t="s">
        <v>32</v>
      </c>
      <c r="K59" s="11" t="s">
        <v>30</v>
      </c>
    </row>
    <row r="60" spans="2:11" s="1" customFormat="1" ht="25.5">
      <c r="B60" s="21" t="s">
        <v>34</v>
      </c>
      <c r="C60" s="9">
        <v>50</v>
      </c>
      <c r="D60" s="9" t="s">
        <v>24</v>
      </c>
      <c r="K60" s="13" t="s">
        <v>33</v>
      </c>
    </row>
    <row r="61" spans="2:11" s="1" customFormat="1" ht="25.5">
      <c r="B61" s="21" t="s">
        <v>35</v>
      </c>
      <c r="C61" s="9">
        <v>50</v>
      </c>
      <c r="D61" s="9" t="s">
        <v>24</v>
      </c>
      <c r="H61" s="31"/>
      <c r="I61" s="32"/>
      <c r="K61" s="22">
        <f>K57*$C$3</f>
        <v>5.588235294117644</v>
      </c>
    </row>
    <row r="62" spans="2:4" s="1" customFormat="1" ht="25.5">
      <c r="B62" s="21" t="s">
        <v>36</v>
      </c>
      <c r="C62" s="9">
        <v>100</v>
      </c>
      <c r="D62" s="9" t="s">
        <v>24</v>
      </c>
    </row>
    <row r="63" spans="2:4" s="1" customFormat="1" ht="12.75">
      <c r="B63" s="21" t="s">
        <v>37</v>
      </c>
      <c r="C63" s="9">
        <v>5</v>
      </c>
      <c r="D63" s="9" t="s">
        <v>24</v>
      </c>
    </row>
    <row r="64" s="1" customFormat="1" ht="12.75">
      <c r="B64" s="1" t="s">
        <v>47</v>
      </c>
    </row>
    <row r="65" s="1" customFormat="1" ht="12.75">
      <c r="B65" s="1" t="s">
        <v>48</v>
      </c>
    </row>
    <row r="66" s="1" customFormat="1" ht="12.75">
      <c r="B66" s="1" t="s">
        <v>49</v>
      </c>
    </row>
    <row r="67" s="1" customFormat="1" ht="12.75"/>
    <row r="68" s="1" customFormat="1" ht="21" customHeight="1">
      <c r="A68" s="4" t="s">
        <v>50</v>
      </c>
    </row>
    <row r="69" spans="2:256" s="1" customFormat="1" ht="27" customHeight="1">
      <c r="B69" s="5" t="s">
        <v>8</v>
      </c>
      <c r="C69" s="6" t="s">
        <v>9</v>
      </c>
      <c r="D69" s="6" t="s">
        <v>10</v>
      </c>
      <c r="E69" s="7" t="s">
        <v>11</v>
      </c>
      <c r="F69" s="7" t="s">
        <v>15</v>
      </c>
      <c r="G69" s="7" t="s">
        <v>15</v>
      </c>
      <c r="H69" s="7" t="s">
        <v>16</v>
      </c>
      <c r="I69" s="7" t="s">
        <v>17</v>
      </c>
      <c r="IT69"/>
      <c r="IU69"/>
      <c r="IV69"/>
    </row>
    <row r="70" spans="1:256" s="1" customFormat="1" ht="24.75">
      <c r="A70" s="9" t="s">
        <v>51</v>
      </c>
      <c r="B70" s="9" t="s">
        <v>19</v>
      </c>
      <c r="C70" s="29">
        <f>K156</f>
        <v>0.5952380952380952</v>
      </c>
      <c r="D70" s="11"/>
      <c r="E70" s="12" t="s">
        <v>20</v>
      </c>
      <c r="F70" s="14" t="s">
        <v>21</v>
      </c>
      <c r="G70" s="13" t="s">
        <v>22</v>
      </c>
      <c r="H70" s="13" t="s">
        <v>23</v>
      </c>
      <c r="I70" s="13" t="s">
        <v>24</v>
      </c>
      <c r="IT70"/>
      <c r="IU70"/>
      <c r="IV70"/>
    </row>
    <row r="71" spans="2:256" s="1" customFormat="1" ht="12.75">
      <c r="B71" s="11" t="s">
        <v>46</v>
      </c>
      <c r="C71" s="15">
        <v>12</v>
      </c>
      <c r="D71" s="11" t="s">
        <v>26</v>
      </c>
      <c r="E71" s="11">
        <v>15</v>
      </c>
      <c r="F71" s="17">
        <f>(C72-C73)</f>
        <v>0.10000000000000009</v>
      </c>
      <c r="G71" s="18">
        <f>F71*(60/E71)</f>
        <v>0.40000000000000036</v>
      </c>
      <c r="H71" s="17">
        <f>(1000/C74)*G71</f>
        <v>1.996007984031938</v>
      </c>
      <c r="I71" s="15">
        <f>100-(H71*100)/K7</f>
        <v>0.9838101574627274</v>
      </c>
      <c r="IT71"/>
      <c r="IU71"/>
      <c r="IV71"/>
    </row>
    <row r="72" spans="2:11" s="1" customFormat="1" ht="12.75">
      <c r="B72" s="11" t="s">
        <v>52</v>
      </c>
      <c r="C72" s="15">
        <f>1.25</f>
        <v>1.25</v>
      </c>
      <c r="D72" s="11" t="s">
        <v>29</v>
      </c>
      <c r="F72" s="19"/>
      <c r="I72" s="20"/>
      <c r="J72" s="20"/>
      <c r="K72" s="20"/>
    </row>
    <row r="73" spans="2:11" s="1" customFormat="1" ht="12.75">
      <c r="B73" s="11" t="s">
        <v>53</v>
      </c>
      <c r="C73" s="15">
        <v>1.15</v>
      </c>
      <c r="D73" s="11" t="s">
        <v>29</v>
      </c>
      <c r="I73" s="11" t="s">
        <v>30</v>
      </c>
      <c r="J73"/>
      <c r="K73"/>
    </row>
    <row r="74" spans="2:11" s="1" customFormat="1" ht="12.75">
      <c r="B74" s="11" t="s">
        <v>31</v>
      </c>
      <c r="C74" s="11">
        <f>C71*16.7</f>
        <v>200.39999999999998</v>
      </c>
      <c r="D74" s="11" t="s">
        <v>32</v>
      </c>
      <c r="I74" s="13" t="s">
        <v>33</v>
      </c>
      <c r="J74"/>
      <c r="K74"/>
    </row>
    <row r="75" spans="2:11" s="1" customFormat="1" ht="12.75">
      <c r="B75" s="21" t="s">
        <v>54</v>
      </c>
      <c r="C75" s="9">
        <v>100</v>
      </c>
      <c r="D75" s="9" t="s">
        <v>24</v>
      </c>
      <c r="H75" s="31"/>
      <c r="I75" s="22">
        <f>H71*$C$3</f>
        <v>2.4950099800399226</v>
      </c>
      <c r="J75"/>
      <c r="K75"/>
    </row>
    <row r="76" spans="2:4" s="1" customFormat="1" ht="12.75">
      <c r="B76" s="21" t="s">
        <v>55</v>
      </c>
      <c r="C76" s="9">
        <v>100</v>
      </c>
      <c r="D76" s="9" t="s">
        <v>24</v>
      </c>
    </row>
    <row r="77" spans="2:4" s="1" customFormat="1" ht="12.75">
      <c r="B77" s="1" t="s">
        <v>56</v>
      </c>
      <c r="C77"/>
      <c r="D77"/>
    </row>
    <row r="78" s="1" customFormat="1" ht="12.75">
      <c r="B78" s="1" t="s">
        <v>57</v>
      </c>
    </row>
    <row r="79" s="1" customFormat="1" ht="12.75">
      <c r="B79"/>
    </row>
    <row r="80" s="1" customFormat="1" ht="12.75"/>
    <row r="81" spans="2:6" s="1" customFormat="1" ht="12.75">
      <c r="B81" s="33" t="s">
        <v>58</v>
      </c>
      <c r="C81" s="34" t="s">
        <v>59</v>
      </c>
      <c r="D81" s="35"/>
      <c r="E81" s="35"/>
      <c r="F81" s="36"/>
    </row>
    <row r="82" spans="2:3" s="1" customFormat="1" ht="12.75">
      <c r="B82" s="33" t="s">
        <v>20</v>
      </c>
      <c r="C82" s="33" t="s">
        <v>60</v>
      </c>
    </row>
    <row r="83" spans="2:3" s="1" customFormat="1" ht="12.75">
      <c r="B83" s="2">
        <v>0</v>
      </c>
      <c r="C83" s="37">
        <v>16.9</v>
      </c>
    </row>
    <row r="84" spans="2:3" s="1" customFormat="1" ht="12.75">
      <c r="B84" s="2">
        <f>28-23</f>
        <v>5</v>
      </c>
      <c r="C84" s="37">
        <v>20.3</v>
      </c>
    </row>
    <row r="85" spans="2:3" s="1" customFormat="1" ht="12.75">
      <c r="B85" s="2">
        <f>33-23</f>
        <v>10</v>
      </c>
      <c r="C85" s="37">
        <v>23.5</v>
      </c>
    </row>
    <row r="86" spans="2:3" s="1" customFormat="1" ht="12.75">
      <c r="B86" s="2">
        <f>38-23</f>
        <v>15</v>
      </c>
      <c r="C86" s="37">
        <v>31.3</v>
      </c>
    </row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21" customHeight="1">
      <c r="A94" s="4" t="s">
        <v>50</v>
      </c>
    </row>
    <row r="95" spans="2:256" s="1" customFormat="1" ht="27" customHeight="1">
      <c r="B95" s="5" t="s">
        <v>8</v>
      </c>
      <c r="C95" s="6" t="s">
        <v>9</v>
      </c>
      <c r="D95" s="6" t="s">
        <v>10</v>
      </c>
      <c r="E95" s="7" t="s">
        <v>11</v>
      </c>
      <c r="F95" s="7" t="s">
        <v>15</v>
      </c>
      <c r="G95" s="7" t="s">
        <v>15</v>
      </c>
      <c r="H95" s="7" t="s">
        <v>16</v>
      </c>
      <c r="I95" s="7" t="s">
        <v>17</v>
      </c>
      <c r="IT95"/>
      <c r="IU95"/>
      <c r="IV95"/>
    </row>
    <row r="96" spans="1:256" s="1" customFormat="1" ht="24.75">
      <c r="A96" s="9" t="s">
        <v>61</v>
      </c>
      <c r="B96" s="9" t="s">
        <v>19</v>
      </c>
      <c r="C96" s="29">
        <f>K156</f>
        <v>0.5952380952380952</v>
      </c>
      <c r="D96" s="11"/>
      <c r="E96" s="12" t="s">
        <v>20</v>
      </c>
      <c r="F96" s="14" t="s">
        <v>21</v>
      </c>
      <c r="G96" s="13" t="s">
        <v>22</v>
      </c>
      <c r="H96" s="13" t="s">
        <v>23</v>
      </c>
      <c r="I96" s="13" t="s">
        <v>24</v>
      </c>
      <c r="IT96"/>
      <c r="IU96"/>
      <c r="IV96"/>
    </row>
    <row r="97" spans="2:256" s="1" customFormat="1" ht="12.75">
      <c r="B97" s="11" t="s">
        <v>46</v>
      </c>
      <c r="C97" s="15">
        <v>8.5</v>
      </c>
      <c r="D97" s="11" t="s">
        <v>26</v>
      </c>
      <c r="E97" s="11">
        <f>45</f>
        <v>45</v>
      </c>
      <c r="F97" s="17">
        <f>(C98-C99)</f>
        <v>0.3799999999999999</v>
      </c>
      <c r="G97" s="18">
        <f>F97*(60/E97)</f>
        <v>0.5066666666666665</v>
      </c>
      <c r="H97" s="17">
        <f>(1000/C101)*G97</f>
        <v>5.418894830659535</v>
      </c>
      <c r="I97" s="15">
        <f>100-(H97*100)/K7</f>
        <v>-168.81571796395326</v>
      </c>
      <c r="IT97"/>
      <c r="IU97"/>
      <c r="IV97"/>
    </row>
    <row r="98" spans="2:11" s="1" customFormat="1" ht="12.75">
      <c r="B98" s="11" t="s">
        <v>52</v>
      </c>
      <c r="C98" s="15">
        <v>2</v>
      </c>
      <c r="D98" s="11" t="s">
        <v>29</v>
      </c>
      <c r="F98" s="19"/>
      <c r="I98" s="20"/>
      <c r="J98" s="20"/>
      <c r="K98" s="20"/>
    </row>
    <row r="99" spans="2:11" s="1" customFormat="1" ht="12.75">
      <c r="B99" s="11" t="s">
        <v>53</v>
      </c>
      <c r="C99" s="15">
        <f>1.62</f>
        <v>1.62</v>
      </c>
      <c r="D99" s="11" t="s">
        <v>29</v>
      </c>
      <c r="I99"/>
      <c r="J99"/>
      <c r="K99"/>
    </row>
    <row r="100" spans="2:11" s="1" customFormat="1" ht="12.75">
      <c r="B100" s="11" t="s">
        <v>62</v>
      </c>
      <c r="C100" s="11">
        <f>(((PI()*(0.88-0.04)^2)/4)*0.025)</f>
        <v>0.013854423602330988</v>
      </c>
      <c r="D100" s="11" t="s">
        <v>29</v>
      </c>
      <c r="I100" s="11" t="s">
        <v>30</v>
      </c>
      <c r="J100"/>
      <c r="K100"/>
    </row>
    <row r="101" spans="2:11" s="1" customFormat="1" ht="12.75">
      <c r="B101" s="11" t="s">
        <v>31</v>
      </c>
      <c r="C101" s="11">
        <f>C97*11</f>
        <v>93.5</v>
      </c>
      <c r="D101" s="11" t="s">
        <v>32</v>
      </c>
      <c r="I101" s="13" t="s">
        <v>33</v>
      </c>
      <c r="J101"/>
      <c r="K101"/>
    </row>
    <row r="102" spans="2:11" s="1" customFormat="1" ht="12.75">
      <c r="B102" s="21" t="s">
        <v>54</v>
      </c>
      <c r="C102" s="9">
        <v>100</v>
      </c>
      <c r="D102" s="9" t="s">
        <v>24</v>
      </c>
      <c r="H102" s="31"/>
      <c r="I102" s="22">
        <f>H97*$C$3</f>
        <v>6.773618538324419</v>
      </c>
      <c r="J102"/>
      <c r="K102"/>
    </row>
    <row r="103" spans="2:4" s="1" customFormat="1" ht="12.75">
      <c r="B103" s="21" t="s">
        <v>55</v>
      </c>
      <c r="C103" s="9">
        <v>10</v>
      </c>
      <c r="D103" s="9" t="s">
        <v>24</v>
      </c>
    </row>
    <row r="104" spans="2:4" s="1" customFormat="1" ht="12.75">
      <c r="B104"/>
      <c r="C104"/>
      <c r="D104"/>
    </row>
    <row r="105" s="1" customFormat="1" ht="12.75">
      <c r="B105" s="1" t="s">
        <v>63</v>
      </c>
    </row>
    <row r="106" s="1" customFormat="1" ht="12.75">
      <c r="B106" s="1" t="s">
        <v>57</v>
      </c>
    </row>
    <row r="107" s="1" customFormat="1" ht="12.75"/>
    <row r="108" s="1" customFormat="1" ht="17.25">
      <c r="A108" s="38" t="s">
        <v>64</v>
      </c>
    </row>
    <row r="109" spans="1:6" s="1" customFormat="1" ht="21" customHeight="1">
      <c r="A109"/>
      <c r="B109" s="5" t="s">
        <v>8</v>
      </c>
      <c r="C109" s="6" t="s">
        <v>9</v>
      </c>
      <c r="D109" s="6" t="s">
        <v>10</v>
      </c>
      <c r="F109" s="24" t="s">
        <v>65</v>
      </c>
    </row>
    <row r="110" spans="2:8" s="1" customFormat="1" ht="27" customHeight="1">
      <c r="B110" s="9" t="s">
        <v>19</v>
      </c>
      <c r="C110" s="29">
        <f>K156</f>
        <v>0.5952380952380952</v>
      </c>
      <c r="D110" s="11"/>
      <c r="E110" s="7" t="s">
        <v>11</v>
      </c>
      <c r="F110" s="7" t="s">
        <v>15</v>
      </c>
      <c r="G110" s="7" t="s">
        <v>16</v>
      </c>
      <c r="H110" s="7" t="s">
        <v>17</v>
      </c>
    </row>
    <row r="111" spans="1:8" s="1" customFormat="1" ht="12.75">
      <c r="A111" s="9" t="s">
        <v>66</v>
      </c>
      <c r="B111" s="11" t="s">
        <v>25</v>
      </c>
      <c r="C111" s="15">
        <v>10.5</v>
      </c>
      <c r="D111" s="11" t="s">
        <v>26</v>
      </c>
      <c r="E111" s="12" t="s">
        <v>20</v>
      </c>
      <c r="F111" s="13" t="s">
        <v>22</v>
      </c>
      <c r="G111" s="13" t="s">
        <v>23</v>
      </c>
      <c r="H111" s="13" t="s">
        <v>24</v>
      </c>
    </row>
    <row r="112" spans="2:8" s="1" customFormat="1" ht="12.75">
      <c r="B112" s="11" t="s">
        <v>27</v>
      </c>
      <c r="C112" s="15">
        <v>11.5</v>
      </c>
      <c r="D112" s="11" t="s">
        <v>26</v>
      </c>
      <c r="E112" s="11">
        <v>0</v>
      </c>
      <c r="F112" s="17" t="e">
        <f>C113*(60/E112)</f>
        <v>#DIV/0!</v>
      </c>
      <c r="G112" s="17" t="e">
        <f>(1000/C115)*F112</f>
        <v>#DIV/0!</v>
      </c>
      <c r="H112" s="15" t="e">
        <f>100-(G112*100)/K7</f>
        <v>#DIV/0!</v>
      </c>
    </row>
    <row r="113" spans="2:10" s="1" customFormat="1" ht="12.75">
      <c r="B113" s="11" t="s">
        <v>67</v>
      </c>
      <c r="C113" s="15">
        <v>0</v>
      </c>
      <c r="D113" s="11" t="s">
        <v>29</v>
      </c>
      <c r="F113" s="19"/>
      <c r="I113" s="20"/>
      <c r="J113" s="20"/>
    </row>
    <row r="114" spans="2:10" s="1" customFormat="1" ht="12.75">
      <c r="B114" s="11" t="s">
        <v>62</v>
      </c>
      <c r="C114" s="11">
        <v>0</v>
      </c>
      <c r="D114" s="11" t="s">
        <v>29</v>
      </c>
      <c r="F114" s="19"/>
      <c r="H114" s="11" t="s">
        <v>30</v>
      </c>
      <c r="I114"/>
      <c r="J114" s="20"/>
    </row>
    <row r="115" spans="2:9" s="1" customFormat="1" ht="12.75">
      <c r="B115" s="11" t="s">
        <v>31</v>
      </c>
      <c r="C115" s="11">
        <v>0</v>
      </c>
      <c r="D115" s="11" t="s">
        <v>32</v>
      </c>
      <c r="H115" s="13" t="s">
        <v>33</v>
      </c>
      <c r="I115"/>
    </row>
    <row r="116" spans="2:9" s="1" customFormat="1" ht="12.75">
      <c r="B116" s="21" t="s">
        <v>68</v>
      </c>
      <c r="C116" s="9">
        <v>100</v>
      </c>
      <c r="D116" s="9" t="s">
        <v>24</v>
      </c>
      <c r="H116" s="22" t="e">
        <f>G112*$C$3</f>
        <v>#DIV/0!</v>
      </c>
      <c r="I116"/>
    </row>
    <row r="117" spans="2:8" s="1" customFormat="1" ht="12.75">
      <c r="B117" s="21" t="s">
        <v>69</v>
      </c>
      <c r="C117" s="9">
        <v>100</v>
      </c>
      <c r="D117" s="9" t="s">
        <v>24</v>
      </c>
      <c r="H117" s="31"/>
    </row>
    <row r="118" s="1" customFormat="1" ht="12.75">
      <c r="B118" s="28" t="s">
        <v>70</v>
      </c>
    </row>
    <row r="119" s="1" customFormat="1" ht="12.75">
      <c r="B119" s="28" t="s">
        <v>71</v>
      </c>
    </row>
    <row r="120" s="1" customFormat="1" ht="12.75">
      <c r="B120" s="1" t="s">
        <v>72</v>
      </c>
    </row>
    <row r="121" s="1" customFormat="1" ht="12.75">
      <c r="B121" s="39" t="s">
        <v>73</v>
      </c>
    </row>
    <row r="122" s="1" customFormat="1" ht="12.75">
      <c r="B122" s="39" t="s">
        <v>74</v>
      </c>
    </row>
    <row r="123" s="1" customFormat="1" ht="12.75">
      <c r="B123" s="1" t="s">
        <v>75</v>
      </c>
    </row>
    <row r="124" s="1" customFormat="1" ht="12.75"/>
    <row r="125" s="1" customFormat="1" ht="17.25">
      <c r="A125" s="40" t="s">
        <v>76</v>
      </c>
    </row>
    <row r="126" spans="1:4" s="1" customFormat="1" ht="23.25" customHeight="1">
      <c r="A126"/>
      <c r="B126" s="5" t="s">
        <v>8</v>
      </c>
      <c r="C126" s="6" t="s">
        <v>9</v>
      </c>
      <c r="D126" s="6" t="s">
        <v>10</v>
      </c>
    </row>
    <row r="127" spans="2:10" s="1" customFormat="1" ht="27" customHeight="1">
      <c r="B127" s="9" t="s">
        <v>19</v>
      </c>
      <c r="C127" s="29">
        <f>K156</f>
        <v>0.5952380952380952</v>
      </c>
      <c r="D127" s="11"/>
      <c r="E127" s="7" t="s">
        <v>11</v>
      </c>
      <c r="F127" s="7" t="s">
        <v>15</v>
      </c>
      <c r="G127" s="7" t="s">
        <v>16</v>
      </c>
      <c r="H127" s="7" t="s">
        <v>17</v>
      </c>
      <c r="I127" s="41" t="s">
        <v>39</v>
      </c>
      <c r="J127" s="5" t="s">
        <v>77</v>
      </c>
    </row>
    <row r="128" spans="1:10" s="1" customFormat="1" ht="12.75">
      <c r="A128" s="9" t="s">
        <v>66</v>
      </c>
      <c r="B128" s="11" t="s">
        <v>78</v>
      </c>
      <c r="C128" s="15">
        <v>13.7</v>
      </c>
      <c r="D128" s="11" t="s">
        <v>26</v>
      </c>
      <c r="E128" s="12" t="s">
        <v>20</v>
      </c>
      <c r="F128" s="13" t="s">
        <v>22</v>
      </c>
      <c r="G128" s="13" t="s">
        <v>23</v>
      </c>
      <c r="H128" s="13" t="s">
        <v>24</v>
      </c>
      <c r="I128" s="13" t="s">
        <v>24</v>
      </c>
      <c r="J128" s="13" t="s">
        <v>24</v>
      </c>
    </row>
    <row r="129" spans="2:10" s="1" customFormat="1" ht="12.75">
      <c r="B129" s="11" t="s">
        <v>67</v>
      </c>
      <c r="C129" s="15">
        <v>0.25</v>
      </c>
      <c r="D129" s="11" t="s">
        <v>29</v>
      </c>
      <c r="E129" s="11">
        <v>20</v>
      </c>
      <c r="F129" s="18">
        <f>C129*(60/E129)</f>
        <v>0.75</v>
      </c>
      <c r="G129" s="17">
        <f>(1000/C131)*F129</f>
        <v>3.278115302242231</v>
      </c>
      <c r="H129" s="15">
        <f>100-(G129*100)/K7</f>
        <v>-62.61783003336396</v>
      </c>
      <c r="I129" s="42">
        <f>C130/C129</f>
        <v>0.15516954434610708</v>
      </c>
      <c r="J129" s="3">
        <f>1/2.5</f>
        <v>0.4</v>
      </c>
    </row>
    <row r="130" spans="2:10" s="1" customFormat="1" ht="12.75">
      <c r="B130" s="11" t="s">
        <v>62</v>
      </c>
      <c r="C130" s="11">
        <f>(((PI()*(0.88-0.04)^2)/4)*0.07)</f>
        <v>0.03879238608652677</v>
      </c>
      <c r="D130" s="11" t="s">
        <v>29</v>
      </c>
      <c r="F130"/>
      <c r="G130"/>
      <c r="I130" s="20"/>
      <c r="J130" s="20"/>
    </row>
    <row r="131" spans="2:10" s="1" customFormat="1" ht="12.75">
      <c r="B131" s="11" t="s">
        <v>31</v>
      </c>
      <c r="C131" s="11">
        <f>16.7*C128</f>
        <v>228.79000000000002</v>
      </c>
      <c r="D131" s="11" t="s">
        <v>32</v>
      </c>
      <c r="F131"/>
      <c r="I131" s="11" t="s">
        <v>30</v>
      </c>
      <c r="J131" s="20"/>
    </row>
    <row r="132" spans="2:9" s="1" customFormat="1" ht="12.75">
      <c r="B132" s="21" t="s">
        <v>68</v>
      </c>
      <c r="C132" s="9">
        <v>100</v>
      </c>
      <c r="D132" s="9" t="s">
        <v>24</v>
      </c>
      <c r="F132"/>
      <c r="G132"/>
      <c r="I132" s="13" t="s">
        <v>33</v>
      </c>
    </row>
    <row r="133" spans="2:9" s="1" customFormat="1" ht="12.75">
      <c r="B133" s="21" t="s">
        <v>69</v>
      </c>
      <c r="C133" s="9">
        <v>100</v>
      </c>
      <c r="D133" s="9" t="s">
        <v>24</v>
      </c>
      <c r="F133"/>
      <c r="G133"/>
      <c r="I133" s="22">
        <f>G129*$C$3</f>
        <v>4.097644127802789</v>
      </c>
    </row>
    <row r="134" spans="2:8" s="1" customFormat="1" ht="12.75">
      <c r="B134" s="1" t="s">
        <v>79</v>
      </c>
      <c r="H134" s="31"/>
    </row>
    <row r="135" s="1" customFormat="1" ht="12.75">
      <c r="B135" s="39" t="s">
        <v>80</v>
      </c>
    </row>
    <row r="136" s="1" customFormat="1" ht="12.75">
      <c r="B136" s="1" t="s">
        <v>81</v>
      </c>
    </row>
    <row r="137" s="1" customFormat="1" ht="12.75">
      <c r="B137" s="1" t="s">
        <v>82</v>
      </c>
    </row>
    <row r="138" s="1" customFormat="1" ht="12.75">
      <c r="B138" s="28" t="s">
        <v>83</v>
      </c>
    </row>
    <row r="139" s="1" customFormat="1" ht="12.75">
      <c r="B139" s="1" t="s">
        <v>75</v>
      </c>
    </row>
    <row r="140" s="1" customFormat="1" ht="12.75"/>
    <row r="141" spans="2:5" s="1" customFormat="1" ht="12.75">
      <c r="B141"/>
      <c r="E141" s="43" t="s">
        <v>84</v>
      </c>
    </row>
    <row r="142" spans="1:11" s="1" customFormat="1" ht="12.75">
      <c r="A142" s="44" t="s">
        <v>85</v>
      </c>
      <c r="B142" s="45"/>
      <c r="E142" s="2" t="s">
        <v>86</v>
      </c>
      <c r="F142" s="2" t="s">
        <v>87</v>
      </c>
      <c r="G142" s="2" t="s">
        <v>88</v>
      </c>
      <c r="H142" s="2"/>
      <c r="I142" s="2" t="s">
        <v>89</v>
      </c>
      <c r="J142" s="2" t="s">
        <v>89</v>
      </c>
      <c r="K142" s="2" t="s">
        <v>30</v>
      </c>
    </row>
    <row r="143" spans="2:11" s="1" customFormat="1" ht="12.75">
      <c r="B143"/>
      <c r="C143"/>
      <c r="D143"/>
      <c r="E143" s="2" t="s">
        <v>90</v>
      </c>
      <c r="F143" s="2" t="s">
        <v>91</v>
      </c>
      <c r="G143" s="2" t="s">
        <v>4</v>
      </c>
      <c r="H143" s="2"/>
      <c r="I143" s="2" t="s">
        <v>92</v>
      </c>
      <c r="J143" s="2" t="s">
        <v>93</v>
      </c>
      <c r="K143" s="2" t="s">
        <v>33</v>
      </c>
    </row>
    <row r="144" spans="1:11" s="1" customFormat="1" ht="12.75">
      <c r="A144" s="2" t="s">
        <v>94</v>
      </c>
      <c r="B144" s="46" t="s">
        <v>95</v>
      </c>
      <c r="C144" s="36"/>
      <c r="D144" s="2"/>
      <c r="E144" s="3">
        <v>3</v>
      </c>
      <c r="F144" s="2">
        <v>8.9</v>
      </c>
      <c r="G144" s="37">
        <v>13</v>
      </c>
      <c r="H144" s="2"/>
      <c r="I144" s="2">
        <f>G144/F144</f>
        <v>1.4606741573033708</v>
      </c>
      <c r="J144" s="2">
        <f>I144/E144</f>
        <v>0.4868913857677903</v>
      </c>
      <c r="K144" s="2">
        <f>J144*$C$3</f>
        <v>0.6086142322097379</v>
      </c>
    </row>
    <row r="145" spans="1:11" s="1" customFormat="1" ht="15">
      <c r="A145" s="2" t="s">
        <v>94</v>
      </c>
      <c r="B145" s="47" t="s">
        <v>96</v>
      </c>
      <c r="C145" s="36"/>
      <c r="D145" s="2"/>
      <c r="E145" s="3">
        <f>0.9*0.8</f>
        <v>0.7200000000000001</v>
      </c>
      <c r="F145" s="37">
        <v>8</v>
      </c>
      <c r="G145" s="2">
        <v>3.8</v>
      </c>
      <c r="H145" s="2"/>
      <c r="I145" s="2">
        <f>G145/F145</f>
        <v>0.47500000000000003</v>
      </c>
      <c r="J145" s="2">
        <f>I145/E145</f>
        <v>0.6597222222222222</v>
      </c>
      <c r="K145" s="2">
        <f>J145*$C$3</f>
        <v>0.8246527777777778</v>
      </c>
    </row>
    <row r="146" spans="1:11" s="1" customFormat="1" ht="12.75">
      <c r="A146" s="2"/>
      <c r="B146" s="46" t="s">
        <v>97</v>
      </c>
      <c r="C146" s="36"/>
      <c r="D146" s="2"/>
      <c r="E146" s="2"/>
      <c r="F146" s="2"/>
      <c r="G146" s="2"/>
      <c r="H146" s="2"/>
      <c r="I146" s="2"/>
      <c r="J146" s="2"/>
      <c r="K146" s="2"/>
    </row>
    <row r="147" spans="1:11" s="1" customFormat="1" ht="15">
      <c r="A147" s="2" t="s">
        <v>94</v>
      </c>
      <c r="B147" s="47" t="s">
        <v>98</v>
      </c>
      <c r="C147" s="36"/>
      <c r="D147" s="2"/>
      <c r="E147" s="3">
        <v>2</v>
      </c>
      <c r="F147" s="37">
        <v>4</v>
      </c>
      <c r="G147" s="2">
        <v>2.3</v>
      </c>
      <c r="H147" s="2"/>
      <c r="I147" s="2">
        <f>G147/F147</f>
        <v>0.575</v>
      </c>
      <c r="J147" s="2">
        <f>I147/E147</f>
        <v>0.2875</v>
      </c>
      <c r="K147" s="2">
        <f>J147*$C$3</f>
        <v>0.359375</v>
      </c>
    </row>
    <row r="148" spans="1:11" s="1" customFormat="1" ht="15">
      <c r="A148" s="2" t="s">
        <v>94</v>
      </c>
      <c r="B148" s="47" t="s">
        <v>99</v>
      </c>
      <c r="C148" s="36"/>
      <c r="D148" s="2"/>
      <c r="E148" s="3">
        <f>2.5*0.8</f>
        <v>2</v>
      </c>
      <c r="F148" s="2">
        <v>2.7</v>
      </c>
      <c r="G148" s="2">
        <v>3.6</v>
      </c>
      <c r="H148" s="2"/>
      <c r="I148" s="2">
        <f>G148/F148</f>
        <v>1.3333333333333333</v>
      </c>
      <c r="J148" s="2">
        <f>I148/E148</f>
        <v>0.6666666666666666</v>
      </c>
      <c r="K148" s="3">
        <f>J148*$C$3</f>
        <v>0.8333333333333333</v>
      </c>
    </row>
    <row r="149" spans="1:11" s="1" customFormat="1" ht="12.75">
      <c r="A149" s="48" t="s">
        <v>94</v>
      </c>
      <c r="B149" s="49" t="s">
        <v>100</v>
      </c>
      <c r="C149" s="50"/>
      <c r="D149" s="48"/>
      <c r="E149" s="51">
        <v>1.6</v>
      </c>
      <c r="F149" s="52">
        <v>3</v>
      </c>
      <c r="G149" s="48">
        <v>2.8</v>
      </c>
      <c r="H149" s="48"/>
      <c r="I149" s="48">
        <f>G149/F149</f>
        <v>0.9333333333333335</v>
      </c>
      <c r="J149" s="48">
        <f>I149/E149</f>
        <v>0.5833333333333334</v>
      </c>
      <c r="K149" s="51">
        <f>J149*$C$3</f>
        <v>0.7291666666666667</v>
      </c>
    </row>
    <row r="150" spans="1:11" s="1" customFormat="1" ht="12.75">
      <c r="A150" s="48" t="s">
        <v>94</v>
      </c>
      <c r="B150" s="49" t="s">
        <v>101</v>
      </c>
      <c r="C150" s="50"/>
      <c r="D150" s="48"/>
      <c r="E150" s="51">
        <v>1.4</v>
      </c>
      <c r="F150" s="48">
        <v>4.5</v>
      </c>
      <c r="G150" s="48">
        <v>3.5</v>
      </c>
      <c r="H150" s="48"/>
      <c r="I150" s="48">
        <f>G150/F150</f>
        <v>0.7777777777777778</v>
      </c>
      <c r="J150" s="48">
        <f>I150/E150</f>
        <v>0.5555555555555555</v>
      </c>
      <c r="K150" s="48">
        <f>J150*$C$3</f>
        <v>0.6944444444444443</v>
      </c>
    </row>
    <row r="151" spans="1:11" s="1" customFormat="1" ht="12.75">
      <c r="A151" s="2" t="s">
        <v>94</v>
      </c>
      <c r="B151" s="46" t="s">
        <v>102</v>
      </c>
      <c r="C151" s="36"/>
      <c r="D151" s="2"/>
      <c r="E151" s="3">
        <v>3.2</v>
      </c>
      <c r="F151" s="37">
        <v>3</v>
      </c>
      <c r="G151" s="2">
        <v>3.6</v>
      </c>
      <c r="H151" s="2"/>
      <c r="I151" s="3">
        <f>G151/F151</f>
        <v>1.2</v>
      </c>
      <c r="J151" s="2">
        <f>I151/E151</f>
        <v>0.37499999999999994</v>
      </c>
      <c r="K151" s="2">
        <f>J151*$C$3</f>
        <v>0.46874999999999994</v>
      </c>
    </row>
    <row r="152" spans="1:11" s="1" customFormat="1" ht="12.75">
      <c r="A152"/>
      <c r="E152"/>
      <c r="F152"/>
      <c r="G152"/>
      <c r="H152"/>
      <c r="I152"/>
      <c r="J152"/>
      <c r="K152"/>
    </row>
    <row r="153" s="1" customFormat="1" ht="12.75"/>
    <row r="154" spans="1:2" s="1" customFormat="1" ht="12.75">
      <c r="A154" s="44" t="s">
        <v>103</v>
      </c>
      <c r="B154" s="45"/>
    </row>
    <row r="155" spans="1:11" s="1" customFormat="1" ht="12.75">
      <c r="A155"/>
      <c r="B155" s="2" t="s">
        <v>104</v>
      </c>
      <c r="C155" s="2" t="s">
        <v>2</v>
      </c>
      <c r="D155" s="2"/>
      <c r="K155" s="2" t="s">
        <v>105</v>
      </c>
    </row>
    <row r="156" spans="1:11" s="1" customFormat="1" ht="12.75">
      <c r="A156" s="2">
        <v>1</v>
      </c>
      <c r="B156" s="2"/>
      <c r="C156" s="2"/>
      <c r="D156" s="2"/>
      <c r="E156" s="2">
        <v>75</v>
      </c>
      <c r="F156" s="2"/>
      <c r="G156" s="2" t="s">
        <v>106</v>
      </c>
      <c r="H156" s="2" t="s">
        <v>2</v>
      </c>
      <c r="I156" s="2">
        <v>126</v>
      </c>
      <c r="J156" s="2"/>
      <c r="K156" s="53">
        <f>E156/I156</f>
        <v>0.5952380952380952</v>
      </c>
    </row>
    <row r="157" spans="1:11" s="1" customFormat="1" ht="12.75">
      <c r="A157" s="2">
        <v>2</v>
      </c>
      <c r="B157" s="2"/>
      <c r="C157" s="2"/>
      <c r="D157" s="2"/>
      <c r="E157" s="2">
        <v>40</v>
      </c>
      <c r="F157" s="2"/>
      <c r="G157" s="2"/>
      <c r="H157" s="2"/>
      <c r="I157" s="2">
        <v>126</v>
      </c>
      <c r="J157" s="2"/>
      <c r="K157" s="53">
        <f>E157/I157</f>
        <v>0.31746031746031744</v>
      </c>
    </row>
    <row r="158" spans="1:11" s="1" customFormat="1" ht="12.75">
      <c r="A158" s="2">
        <v>3</v>
      </c>
      <c r="B158" s="2"/>
      <c r="C158" s="2"/>
      <c r="D158" s="2"/>
      <c r="E158" s="2">
        <v>40</v>
      </c>
      <c r="F158" s="2"/>
      <c r="G158" s="2"/>
      <c r="H158" s="2"/>
      <c r="I158" s="2">
        <v>56</v>
      </c>
      <c r="J158" s="2"/>
      <c r="K158" s="53">
        <f>E158/I158</f>
        <v>0.7142857142857143</v>
      </c>
    </row>
    <row r="159" spans="1:11" s="1" customFormat="1" ht="12.75">
      <c r="A159" s="2">
        <v>4</v>
      </c>
      <c r="B159" s="2"/>
      <c r="C159" s="2"/>
      <c r="D159" s="2"/>
      <c r="E159" s="2">
        <v>56</v>
      </c>
      <c r="F159" s="2"/>
      <c r="G159" s="2"/>
      <c r="H159" s="2"/>
      <c r="I159" s="2">
        <v>126</v>
      </c>
      <c r="J159" s="2"/>
      <c r="K159" s="53">
        <f>E159/I159</f>
        <v>0.4444444444444444</v>
      </c>
    </row>
    <row r="160" spans="1:11" s="1" customFormat="1" ht="12.75">
      <c r="A160"/>
      <c r="B160"/>
      <c r="C160"/>
      <c r="D160"/>
      <c r="E160"/>
      <c r="F160"/>
      <c r="G160"/>
      <c r="H160"/>
      <c r="I160"/>
      <c r="J160"/>
      <c r="K160"/>
    </row>
    <row r="161" spans="2:10" s="1" customFormat="1" ht="12.75">
      <c r="B161"/>
      <c r="C161"/>
      <c r="D161"/>
      <c r="E161"/>
      <c r="F161"/>
      <c r="G161"/>
      <c r="H161"/>
      <c r="I161"/>
      <c r="J161"/>
    </row>
    <row r="162" spans="2:10" s="1" customFormat="1" ht="12.75">
      <c r="B162"/>
      <c r="C162"/>
      <c r="D162"/>
      <c r="E162"/>
      <c r="F162"/>
      <c r="G162" s="34" t="s">
        <v>107</v>
      </c>
      <c r="H162" s="54"/>
      <c r="I162" s="54"/>
      <c r="J162" s="55"/>
    </row>
    <row r="163" spans="2:10" s="1" customFormat="1" ht="12.75">
      <c r="B163" s="2" t="s">
        <v>108</v>
      </c>
      <c r="C163" s="2"/>
      <c r="D163" s="2"/>
      <c r="E163" s="56">
        <v>2500</v>
      </c>
      <c r="G163" s="44" t="s">
        <v>109</v>
      </c>
      <c r="H163" s="57"/>
      <c r="I163" s="57"/>
      <c r="J163" s="45"/>
    </row>
    <row r="164" spans="2:10" s="1" customFormat="1" ht="12.75">
      <c r="B164" s="2" t="s">
        <v>110</v>
      </c>
      <c r="C164" s="2">
        <v>1</v>
      </c>
      <c r="D164" s="2"/>
      <c r="E164" s="58">
        <f>E163*K156</f>
        <v>1488.095238095238</v>
      </c>
      <c r="G164" s="2">
        <f>28*12</f>
        <v>336</v>
      </c>
      <c r="H164" s="2" t="s">
        <v>32</v>
      </c>
      <c r="I164" s="2">
        <v>1500</v>
      </c>
      <c r="J164" s="2" t="s">
        <v>111</v>
      </c>
    </row>
    <row r="165" spans="2:10" s="1" customFormat="1" ht="12.75">
      <c r="B165" s="2"/>
      <c r="C165" s="2">
        <v>2</v>
      </c>
      <c r="D165" s="2"/>
      <c r="E165" s="58">
        <f>E163*K157</f>
        <v>793.6507936507936</v>
      </c>
      <c r="G165" s="2">
        <f>55*12</f>
        <v>660</v>
      </c>
      <c r="H165" s="2" t="s">
        <v>32</v>
      </c>
      <c r="I165" s="2">
        <v>2500</v>
      </c>
      <c r="J165" s="2" t="s">
        <v>111</v>
      </c>
    </row>
    <row r="166" spans="2:10" s="1" customFormat="1" ht="12.75">
      <c r="B166" s="2"/>
      <c r="C166" s="2">
        <v>3</v>
      </c>
      <c r="D166" s="2"/>
      <c r="E166" s="58">
        <f>E163*K158</f>
        <v>1785.7142857142858</v>
      </c>
      <c r="G166" s="2">
        <f>60*12</f>
        <v>720</v>
      </c>
      <c r="H166" s="2" t="s">
        <v>32</v>
      </c>
      <c r="I166" s="2">
        <v>3000</v>
      </c>
      <c r="J166" s="2" t="s">
        <v>111</v>
      </c>
    </row>
    <row r="167" spans="2:10" s="1" customFormat="1" ht="12.75">
      <c r="B167" s="2"/>
      <c r="C167" s="2">
        <v>4</v>
      </c>
      <c r="D167" s="2"/>
      <c r="E167" s="58">
        <f>E163*K159</f>
        <v>1111.111111111111</v>
      </c>
      <c r="G167"/>
      <c r="H167"/>
      <c r="I167"/>
      <c r="J167"/>
    </row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zoomScale="80" zoomScaleNormal="80" workbookViewId="0" topLeftCell="A1">
      <selection activeCell="B2" sqref="B2"/>
    </sheetView>
  </sheetViews>
  <sheetFormatPr defaultColWidth="12.57421875" defaultRowHeight="12.75"/>
  <cols>
    <col min="1" max="1" width="11.7109375" style="0" customWidth="1"/>
    <col min="2" max="2" width="18.8515625" style="0" customWidth="1"/>
    <col min="3" max="5" width="11.7109375" style="0" customWidth="1"/>
    <col min="6" max="6" width="14.00390625" style="0" customWidth="1"/>
    <col min="7" max="7" width="13.140625" style="0" customWidth="1"/>
    <col min="8" max="8" width="11.7109375" style="0" customWidth="1"/>
    <col min="9" max="9" width="13.8515625" style="0" customWidth="1"/>
    <col min="10" max="16384" width="11.7109375" style="0" customWidth="1"/>
  </cols>
  <sheetData>
    <row r="1" s="1" customFormat="1" ht="12.75"/>
    <row r="2" spans="2:3" s="1" customFormat="1" ht="31.5">
      <c r="B2"/>
      <c r="C2" s="59" t="s">
        <v>112</v>
      </c>
    </row>
    <row r="3" s="1" customFormat="1" ht="12.75"/>
    <row r="4" s="1" customFormat="1" ht="23.25" customHeight="1">
      <c r="A4" s="40" t="s">
        <v>76</v>
      </c>
    </row>
    <row r="5" spans="2:10" s="1" customFormat="1" ht="27" customHeight="1">
      <c r="B5" s="5" t="s">
        <v>8</v>
      </c>
      <c r="C5" s="60"/>
      <c r="D5" s="60"/>
      <c r="E5" s="7" t="s">
        <v>11</v>
      </c>
      <c r="F5" s="7" t="s">
        <v>15</v>
      </c>
      <c r="G5" s="7" t="s">
        <v>16</v>
      </c>
      <c r="H5" s="7" t="s">
        <v>17</v>
      </c>
      <c r="I5" s="61" t="s">
        <v>39</v>
      </c>
      <c r="J5" s="5" t="s">
        <v>77</v>
      </c>
    </row>
    <row r="6" spans="1:10" s="1" customFormat="1" ht="12.75">
      <c r="A6" s="9" t="s">
        <v>66</v>
      </c>
      <c r="B6" s="9" t="s">
        <v>19</v>
      </c>
      <c r="C6" s="29">
        <f>'Test 1005'!K156</f>
        <v>0.5952380952380952</v>
      </c>
      <c r="D6" s="11"/>
      <c r="E6" s="12" t="s">
        <v>20</v>
      </c>
      <c r="F6" s="13" t="s">
        <v>22</v>
      </c>
      <c r="G6" s="13" t="s">
        <v>23</v>
      </c>
      <c r="H6" s="13" t="s">
        <v>24</v>
      </c>
      <c r="I6" s="13" t="s">
        <v>24</v>
      </c>
      <c r="J6" s="13" t="s">
        <v>24</v>
      </c>
    </row>
    <row r="7" spans="2:10" s="1" customFormat="1" ht="12.75">
      <c r="B7" s="11" t="s">
        <v>78</v>
      </c>
      <c r="C7" s="15">
        <v>12</v>
      </c>
      <c r="D7" s="11" t="s">
        <v>26</v>
      </c>
      <c r="E7" s="11">
        <v>15</v>
      </c>
      <c r="F7" s="18">
        <f>C8*(60/E7)</f>
        <v>0.6</v>
      </c>
      <c r="G7" s="17">
        <f>(1000/C10)*F7</f>
        <v>2.9940119760479043</v>
      </c>
      <c r="H7" s="15">
        <f>100-(G7*100)/'Test 1005'!K7</f>
        <v>-48.52428476380575</v>
      </c>
      <c r="I7" s="42">
        <f>C9/C8*100</f>
        <v>14.778051842486386</v>
      </c>
      <c r="J7" s="3">
        <f>(1/2.5)*100</f>
        <v>40</v>
      </c>
    </row>
    <row r="8" spans="2:10" s="1" customFormat="1" ht="12.75">
      <c r="B8" s="11" t="s">
        <v>67</v>
      </c>
      <c r="C8" s="15">
        <v>0.15</v>
      </c>
      <c r="D8" s="11" t="s">
        <v>29</v>
      </c>
      <c r="F8"/>
      <c r="G8"/>
      <c r="I8" s="20"/>
      <c r="J8" s="20"/>
    </row>
    <row r="9" spans="2:10" s="1" customFormat="1" ht="12.75">
      <c r="B9" s="11" t="s">
        <v>62</v>
      </c>
      <c r="C9" s="15">
        <f>(((PI()*(0.88-0.04)^2)/4)*0.04)</f>
        <v>0.02216707776372958</v>
      </c>
      <c r="D9" s="11" t="s">
        <v>29</v>
      </c>
      <c r="F9"/>
      <c r="I9" s="11" t="s">
        <v>30</v>
      </c>
      <c r="J9" s="20"/>
    </row>
    <row r="10" spans="2:9" s="1" customFormat="1" ht="12.75">
      <c r="B10" s="11" t="s">
        <v>31</v>
      </c>
      <c r="C10" s="11">
        <f>16.7*C7</f>
        <v>200.39999999999998</v>
      </c>
      <c r="D10" s="11" t="s">
        <v>32</v>
      </c>
      <c r="F10"/>
      <c r="G10"/>
      <c r="I10" s="13" t="s">
        <v>33</v>
      </c>
    </row>
    <row r="11" spans="2:9" s="1" customFormat="1" ht="24.75">
      <c r="B11" s="21" t="s">
        <v>68</v>
      </c>
      <c r="C11" s="9">
        <v>100</v>
      </c>
      <c r="D11" s="9" t="s">
        <v>24</v>
      </c>
      <c r="F11" s="62"/>
      <c r="G11"/>
      <c r="I11" s="22">
        <f>G7*'Test 1005'!$C$3</f>
        <v>3.7425149700598803</v>
      </c>
    </row>
    <row r="12" spans="2:8" s="1" customFormat="1" ht="12.75">
      <c r="B12" s="21" t="s">
        <v>69</v>
      </c>
      <c r="C12" s="9">
        <v>25</v>
      </c>
      <c r="D12" s="9" t="s">
        <v>24</v>
      </c>
      <c r="H12" s="31"/>
    </row>
    <row r="13" s="1" customFormat="1" ht="12.75">
      <c r="B13" s="1" t="s">
        <v>113</v>
      </c>
    </row>
    <row r="14" s="1" customFormat="1" ht="12.75">
      <c r="B14" s="1" t="s">
        <v>114</v>
      </c>
    </row>
    <row r="15" s="1" customFormat="1" ht="12.75">
      <c r="B15" s="1" t="s">
        <v>115</v>
      </c>
    </row>
    <row r="16" s="1" customFormat="1" ht="12.75"/>
    <row r="17" spans="1:7" s="1" customFormat="1" ht="17.25">
      <c r="A17" s="63" t="s">
        <v>116</v>
      </c>
      <c r="B17" s="64"/>
      <c r="C17" s="65"/>
      <c r="D17" s="57"/>
      <c r="E17" s="57"/>
      <c r="F17" s="57"/>
      <c r="G17" s="45"/>
    </row>
    <row r="18" spans="2:5" s="1" customFormat="1" ht="12.75">
      <c r="B18" s="33" t="s">
        <v>58</v>
      </c>
      <c r="C18" s="66" t="s">
        <v>59</v>
      </c>
      <c r="D18" s="57"/>
      <c r="E18" s="45"/>
    </row>
    <row r="19" spans="2:3" s="1" customFormat="1" ht="12.75">
      <c r="B19" s="33" t="s">
        <v>20</v>
      </c>
      <c r="C19" s="33" t="s">
        <v>60</v>
      </c>
    </row>
    <row r="20" s="1" customFormat="1" ht="12.75"/>
    <row r="21" spans="2:3" s="1" customFormat="1" ht="12.75">
      <c r="B21" s="2">
        <v>0</v>
      </c>
      <c r="C21" s="37">
        <v>20</v>
      </c>
    </row>
    <row r="22" spans="2:3" s="1" customFormat="1" ht="12.75">
      <c r="B22" s="2">
        <v>2</v>
      </c>
      <c r="C22" s="37">
        <v>23</v>
      </c>
    </row>
    <row r="23" spans="2:3" s="1" customFormat="1" ht="12.75">
      <c r="B23" s="2">
        <v>4</v>
      </c>
      <c r="C23" s="37">
        <v>26.7</v>
      </c>
    </row>
    <row r="24" spans="2:3" s="1" customFormat="1" ht="12.75">
      <c r="B24" s="2">
        <v>6</v>
      </c>
      <c r="C24" s="37">
        <v>29.3</v>
      </c>
    </row>
    <row r="25" spans="2:3" s="1" customFormat="1" ht="12.75">
      <c r="B25" s="2">
        <v>8</v>
      </c>
      <c r="C25" s="37">
        <v>30.3</v>
      </c>
    </row>
    <row r="26" spans="2:3" s="1" customFormat="1" ht="12.75">
      <c r="B26" s="2">
        <v>10</v>
      </c>
      <c r="C26" s="37">
        <v>33.5</v>
      </c>
    </row>
    <row r="27" spans="1:3" s="1" customFormat="1" ht="12.75">
      <c r="A27" s="1" t="s">
        <v>117</v>
      </c>
      <c r="B27" s="2">
        <v>12</v>
      </c>
      <c r="C27" s="37">
        <v>34.5</v>
      </c>
    </row>
    <row r="28" spans="2:3" s="1" customFormat="1" ht="12.75">
      <c r="B28" s="2">
        <v>14</v>
      </c>
      <c r="C28" s="37">
        <v>40</v>
      </c>
    </row>
    <row r="29" spans="2:3" s="1" customFormat="1" ht="12.75">
      <c r="B29" s="2">
        <v>19</v>
      </c>
      <c r="C29" s="37">
        <v>48</v>
      </c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="80" zoomScaleNormal="80" workbookViewId="0" topLeftCell="A1">
      <selection activeCell="B15" sqref="B15"/>
    </sheetView>
  </sheetViews>
  <sheetFormatPr defaultColWidth="12.57421875" defaultRowHeight="12.75"/>
  <cols>
    <col min="1" max="1" width="11.7109375" style="0" customWidth="1"/>
    <col min="2" max="2" width="18.8515625" style="0" customWidth="1"/>
    <col min="3" max="3" width="12.7109375" style="0" customWidth="1"/>
    <col min="4" max="5" width="11.7109375" style="0" customWidth="1"/>
    <col min="6" max="6" width="13.7109375" style="0" customWidth="1"/>
    <col min="7" max="7" width="13.140625" style="0" customWidth="1"/>
    <col min="8" max="8" width="11.7109375" style="0" customWidth="1"/>
    <col min="9" max="9" width="13.8515625" style="0" customWidth="1"/>
    <col min="10" max="16384" width="11.7109375" style="0" customWidth="1"/>
  </cols>
  <sheetData>
    <row r="1" s="1" customFormat="1" ht="12.75"/>
    <row r="2" spans="2:3" s="1" customFormat="1" ht="31.5">
      <c r="B2"/>
      <c r="C2" s="59" t="s">
        <v>118</v>
      </c>
    </row>
    <row r="3" s="1" customFormat="1" ht="12.75"/>
    <row r="4" s="1" customFormat="1" ht="23.25" customHeight="1">
      <c r="A4" s="40" t="s">
        <v>76</v>
      </c>
    </row>
    <row r="5" spans="2:10" s="1" customFormat="1" ht="27" customHeight="1">
      <c r="B5" s="5" t="s">
        <v>8</v>
      </c>
      <c r="C5" s="60"/>
      <c r="D5" s="60"/>
      <c r="E5" s="7" t="s">
        <v>11</v>
      </c>
      <c r="F5" s="7" t="s">
        <v>15</v>
      </c>
      <c r="G5" s="7" t="s">
        <v>16</v>
      </c>
      <c r="H5" s="7" t="s">
        <v>17</v>
      </c>
      <c r="I5" s="61" t="s">
        <v>39</v>
      </c>
      <c r="J5" s="5" t="s">
        <v>77</v>
      </c>
    </row>
    <row r="6" spans="1:10" s="1" customFormat="1" ht="12.75">
      <c r="A6" s="9" t="s">
        <v>119</v>
      </c>
      <c r="B6" s="9" t="s">
        <v>19</v>
      </c>
      <c r="C6" s="29">
        <f>'Test 1005'!K156</f>
        <v>0.5952380952380952</v>
      </c>
      <c r="D6" s="11"/>
      <c r="E6" s="12" t="s">
        <v>20</v>
      </c>
      <c r="F6" s="13" t="s">
        <v>22</v>
      </c>
      <c r="G6" s="13" t="s">
        <v>23</v>
      </c>
      <c r="H6" s="13" t="s">
        <v>24</v>
      </c>
      <c r="I6" s="13" t="s">
        <v>24</v>
      </c>
      <c r="J6" s="13" t="s">
        <v>24</v>
      </c>
    </row>
    <row r="7" spans="2:10" s="1" customFormat="1" ht="12.75">
      <c r="B7" s="11" t="s">
        <v>78</v>
      </c>
      <c r="C7" s="15" t="s">
        <v>120</v>
      </c>
      <c r="D7" s="11" t="s">
        <v>26</v>
      </c>
      <c r="E7" s="11">
        <v>15</v>
      </c>
      <c r="F7" s="18">
        <f>C8*(60/E7)</f>
        <v>0.5999999999999996</v>
      </c>
      <c r="G7" s="17">
        <f>(1000/C10)*F7</f>
        <v>3.2916392363396954</v>
      </c>
      <c r="H7" s="15">
        <f>100-(G7*100)/'Test 1005'!K7</f>
        <v>-63.28871333479623</v>
      </c>
      <c r="I7" s="42">
        <f>C9/C8*100</f>
        <v>0</v>
      </c>
      <c r="J7" s="3">
        <f>1/2.5*100</f>
        <v>40</v>
      </c>
    </row>
    <row r="8" spans="2:10" s="1" customFormat="1" ht="12.75">
      <c r="B8" s="11" t="s">
        <v>67</v>
      </c>
      <c r="C8" s="15">
        <f>1.25-1.1</f>
        <v>0.1499999999999999</v>
      </c>
      <c r="D8" s="11" t="s">
        <v>29</v>
      </c>
      <c r="F8"/>
      <c r="G8"/>
      <c r="I8" s="20"/>
      <c r="J8" s="20"/>
    </row>
    <row r="9" spans="2:10" s="1" customFormat="1" ht="12.75">
      <c r="B9" s="11" t="s">
        <v>62</v>
      </c>
      <c r="C9" s="15">
        <f>0</f>
        <v>0</v>
      </c>
      <c r="D9" s="11" t="s">
        <v>29</v>
      </c>
      <c r="F9"/>
      <c r="I9" s="11" t="s">
        <v>30</v>
      </c>
      <c r="J9" s="20"/>
    </row>
    <row r="10" spans="2:9" s="1" customFormat="1" ht="12.75">
      <c r="B10" s="11" t="s">
        <v>31</v>
      </c>
      <c r="C10" s="11">
        <f>((12*16.7*8)+(11.5*15*4)+(10.5*14*3))/15</f>
        <v>182.28</v>
      </c>
      <c r="D10" s="11" t="s">
        <v>32</v>
      </c>
      <c r="F10"/>
      <c r="G10"/>
      <c r="I10" s="13" t="s">
        <v>33</v>
      </c>
    </row>
    <row r="11" spans="2:9" s="1" customFormat="1" ht="24.75">
      <c r="B11" s="21" t="s">
        <v>68</v>
      </c>
      <c r="C11" s="9">
        <v>100</v>
      </c>
      <c r="D11" s="9" t="s">
        <v>24</v>
      </c>
      <c r="F11"/>
      <c r="G11"/>
      <c r="I11" s="22">
        <f>G7*'Test 1005'!$C$3</f>
        <v>4.114549045424619</v>
      </c>
    </row>
    <row r="12" spans="2:8" s="1" customFormat="1" ht="12.75">
      <c r="B12" s="21" t="s">
        <v>69</v>
      </c>
      <c r="C12" s="9">
        <v>0</v>
      </c>
      <c r="D12" s="9" t="s">
        <v>24</v>
      </c>
      <c r="H12" s="31"/>
    </row>
    <row r="13" s="1" customFormat="1" ht="12.75">
      <c r="B13" s="1" t="s">
        <v>121</v>
      </c>
    </row>
    <row r="14" s="1" customFormat="1" ht="12.75">
      <c r="B14" s="1" t="s">
        <v>122</v>
      </c>
    </row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zoomScale="80" zoomScaleNormal="80" workbookViewId="0" topLeftCell="A1">
      <selection activeCell="C38" sqref="C38"/>
    </sheetView>
  </sheetViews>
  <sheetFormatPr defaultColWidth="11.421875" defaultRowHeight="12.75"/>
  <cols>
    <col min="1" max="4" width="11.28125" style="0" customWidth="1"/>
    <col min="5" max="5" width="12.421875" style="0" customWidth="1"/>
    <col min="6" max="16384" width="11.28125" style="0" customWidth="1"/>
  </cols>
  <sheetData>
    <row r="1" spans="1:5" s="1" customFormat="1" ht="17.25">
      <c r="A1" s="40" t="s">
        <v>76</v>
      </c>
      <c r="B1" s="33"/>
      <c r="C1" s="66"/>
      <c r="D1" s="57"/>
      <c r="E1" s="45"/>
    </row>
    <row r="2" spans="1:5" s="1" customFormat="1" ht="17.25">
      <c r="A2" s="67" t="s">
        <v>123</v>
      </c>
      <c r="B2" s="33"/>
      <c r="C2" s="66"/>
      <c r="D2" s="57"/>
      <c r="E2" s="45"/>
    </row>
    <row r="3" spans="2:5" s="1" customFormat="1" ht="12.75">
      <c r="B3" s="33" t="s">
        <v>58</v>
      </c>
      <c r="C3" s="66" t="s">
        <v>59</v>
      </c>
      <c r="D3" s="57"/>
      <c r="E3" s="45"/>
    </row>
    <row r="4" spans="2:3" s="1" customFormat="1" ht="12.75">
      <c r="B4" s="33" t="s">
        <v>20</v>
      </c>
      <c r="C4" s="33" t="s">
        <v>60</v>
      </c>
    </row>
    <row r="5" spans="2:3" s="1" customFormat="1" ht="12.75">
      <c r="B5" s="2">
        <v>0</v>
      </c>
      <c r="C5" s="37">
        <v>19</v>
      </c>
    </row>
    <row r="6" spans="2:3" s="1" customFormat="1" ht="12.75">
      <c r="B6" s="2">
        <v>9</v>
      </c>
      <c r="C6" s="37">
        <v>23</v>
      </c>
    </row>
    <row r="7" spans="2:3" s="1" customFormat="1" ht="12.75">
      <c r="B7" s="2">
        <v>11</v>
      </c>
      <c r="C7" s="37">
        <v>24.2</v>
      </c>
    </row>
    <row r="8" spans="2:3" s="1" customFormat="1" ht="12.75">
      <c r="B8" s="2">
        <v>12</v>
      </c>
      <c r="C8" s="37">
        <v>25.3</v>
      </c>
    </row>
    <row r="9" spans="2:3" s="1" customFormat="1" ht="12.75">
      <c r="B9" s="2">
        <v>14</v>
      </c>
      <c r="C9" s="37">
        <v>28.3</v>
      </c>
    </row>
    <row r="10" spans="2:3" s="1" customFormat="1" ht="12.75">
      <c r="B10" s="2">
        <v>15</v>
      </c>
      <c r="C10" s="37">
        <v>29.5</v>
      </c>
    </row>
    <row r="11" spans="2:3" s="1" customFormat="1" ht="12.75">
      <c r="B11" s="2">
        <v>16</v>
      </c>
      <c r="C11" s="37">
        <v>30.6</v>
      </c>
    </row>
    <row r="12" spans="2:3" s="1" customFormat="1" ht="12.75">
      <c r="B12" s="2">
        <v>17</v>
      </c>
      <c r="C12" s="37">
        <v>32.5</v>
      </c>
    </row>
    <row r="13" spans="2:3" s="1" customFormat="1" ht="12.75">
      <c r="B13" s="2">
        <v>18</v>
      </c>
      <c r="C13" s="37">
        <v>34</v>
      </c>
    </row>
    <row r="14" spans="2:3" s="1" customFormat="1" ht="12.75">
      <c r="B14" s="2">
        <v>19</v>
      </c>
      <c r="C14" s="37">
        <v>35.9</v>
      </c>
    </row>
    <row r="15" spans="2:3" s="1" customFormat="1" ht="12.75">
      <c r="B15" s="2">
        <v>20</v>
      </c>
      <c r="C15" s="37">
        <v>37.6</v>
      </c>
    </row>
    <row r="16" spans="2:3" s="1" customFormat="1" ht="12.75">
      <c r="B16" s="2">
        <v>21</v>
      </c>
      <c r="C16" s="37">
        <v>38.3</v>
      </c>
    </row>
    <row r="17" spans="2:3" s="1" customFormat="1" ht="12.75">
      <c r="B17" s="2">
        <v>22</v>
      </c>
      <c r="C17" s="37">
        <v>39.7</v>
      </c>
    </row>
    <row r="18" spans="2:3" s="1" customFormat="1" ht="12.75">
      <c r="B18" s="2">
        <v>23</v>
      </c>
      <c r="C18" s="37">
        <v>40.3</v>
      </c>
    </row>
    <row r="19" spans="2:3" s="1" customFormat="1" ht="12.75">
      <c r="B19" s="2">
        <v>24</v>
      </c>
      <c r="C19" s="37">
        <v>40.9</v>
      </c>
    </row>
    <row r="20" spans="2:3" s="1" customFormat="1" ht="12.75">
      <c r="B20" s="2">
        <v>25</v>
      </c>
      <c r="C20" s="37">
        <v>42.1</v>
      </c>
    </row>
    <row r="21" spans="2:3" s="1" customFormat="1" ht="12.75">
      <c r="B21" s="2">
        <v>26</v>
      </c>
      <c r="C21" s="37">
        <v>43</v>
      </c>
    </row>
    <row r="22" spans="2:3" s="1" customFormat="1" ht="12.75">
      <c r="B22" s="2">
        <v>27</v>
      </c>
      <c r="C22" s="37">
        <v>43.5</v>
      </c>
    </row>
    <row r="23" spans="2:3" s="1" customFormat="1" ht="12.75">
      <c r="B23" s="2">
        <v>28</v>
      </c>
      <c r="C23" s="37">
        <v>44.4</v>
      </c>
    </row>
    <row r="24" spans="2:3" s="1" customFormat="1" ht="12.75">
      <c r="B24" s="2">
        <v>29</v>
      </c>
      <c r="C24" s="37">
        <v>44.4</v>
      </c>
    </row>
    <row r="25" spans="2:3" s="1" customFormat="1" ht="12.75">
      <c r="B25" s="2">
        <v>30</v>
      </c>
      <c r="C25" s="37">
        <v>45.5</v>
      </c>
    </row>
    <row r="26" s="1" customFormat="1" ht="12.75">
      <c r="C26" s="19"/>
    </row>
    <row r="27" s="1" customFormat="1" ht="12.75">
      <c r="B27" s="1" t="s">
        <v>124</v>
      </c>
    </row>
    <row r="28" s="1" customFormat="1" ht="12.75"/>
    <row r="29" s="1" customFormat="1" ht="12.75"/>
    <row r="30" s="1" customFormat="1" ht="12.75"/>
    <row r="31" spans="2:3" s="1" customFormat="1" ht="12.75">
      <c r="B31" s="33" t="s">
        <v>58</v>
      </c>
      <c r="C31" s="66" t="s">
        <v>59</v>
      </c>
    </row>
    <row r="32" spans="2:3" s="1" customFormat="1" ht="12.75">
      <c r="B32" s="33" t="s">
        <v>20</v>
      </c>
      <c r="C32" s="33" t="s">
        <v>60</v>
      </c>
    </row>
    <row r="33" spans="2:3" s="1" customFormat="1" ht="12.75">
      <c r="B33" s="2">
        <v>0</v>
      </c>
      <c r="C33" s="37">
        <v>19</v>
      </c>
    </row>
    <row r="34" spans="2:3" s="1" customFormat="1" ht="12.75">
      <c r="B34" s="2">
        <v>10</v>
      </c>
      <c r="C34" s="37">
        <v>23.6</v>
      </c>
    </row>
    <row r="35" spans="2:3" s="1" customFormat="1" ht="12.75">
      <c r="B35" s="2">
        <v>15</v>
      </c>
      <c r="C35" s="37">
        <v>29.5</v>
      </c>
    </row>
    <row r="36" spans="2:3" s="1" customFormat="1" ht="12.75">
      <c r="B36" s="2">
        <v>20</v>
      </c>
      <c r="C36" s="37">
        <v>37.6</v>
      </c>
    </row>
    <row r="37" spans="2:3" s="1" customFormat="1" ht="12.75">
      <c r="B37" s="2">
        <v>25</v>
      </c>
      <c r="C37" s="37">
        <v>42.1</v>
      </c>
    </row>
    <row r="38" spans="2:3" s="1" customFormat="1" ht="12.75">
      <c r="B38" s="2">
        <v>30</v>
      </c>
      <c r="C38" s="37">
        <v>45.5</v>
      </c>
    </row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>
      <c r="B53" s="1" t="s">
        <v>124</v>
      </c>
    </row>
    <row r="54" s="1" customFormat="1" ht="12.75">
      <c r="B54"/>
    </row>
    <row r="55" s="1" customFormat="1" ht="12.75"/>
    <row r="56" s="1" customFormat="1" ht="17.25">
      <c r="A56" s="40" t="s">
        <v>76</v>
      </c>
    </row>
    <row r="57" s="1" customFormat="1" ht="17.25">
      <c r="A57" s="67" t="s">
        <v>125</v>
      </c>
    </row>
    <row r="58" s="1" customFormat="1" ht="12.75"/>
    <row r="59" spans="2:3" s="1" customFormat="1" ht="12.75">
      <c r="B59" s="33" t="s">
        <v>58</v>
      </c>
      <c r="C59" s="66" t="s">
        <v>59</v>
      </c>
    </row>
    <row r="60" spans="2:3" s="1" customFormat="1" ht="12.75">
      <c r="B60" s="33" t="s">
        <v>20</v>
      </c>
      <c r="C60" s="33" t="s">
        <v>60</v>
      </c>
    </row>
    <row r="61" spans="2:3" s="1" customFormat="1" ht="12.75">
      <c r="B61" s="2">
        <v>0</v>
      </c>
      <c r="C61" s="37">
        <v>30</v>
      </c>
    </row>
    <row r="62" spans="2:3" s="1" customFormat="1" ht="12.75">
      <c r="B62" s="2">
        <v>5</v>
      </c>
      <c r="C62" s="37">
        <v>33</v>
      </c>
    </row>
    <row r="63" spans="2:3" s="1" customFormat="1" ht="12.75">
      <c r="B63" s="2">
        <v>10</v>
      </c>
      <c r="C63" s="68">
        <v>38.8</v>
      </c>
    </row>
    <row r="64" spans="2:3" s="1" customFormat="1" ht="12.75">
      <c r="B64" s="2">
        <v>15</v>
      </c>
      <c r="C64" s="68">
        <v>47</v>
      </c>
    </row>
    <row r="65" spans="2:3" s="1" customFormat="1" ht="12.75">
      <c r="B65" s="2">
        <v>20</v>
      </c>
      <c r="C65" s="37">
        <v>62</v>
      </c>
    </row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Fufoid Fuf</cp:lastModifiedBy>
  <cp:lastPrinted>1601-01-01T00:02:05Z</cp:lastPrinted>
  <dcterms:created xsi:type="dcterms:W3CDTF">2005-10-26T21:10:50Z</dcterms:created>
  <dcterms:modified xsi:type="dcterms:W3CDTF">2005-11-04T21:26:14Z</dcterms:modified>
  <cp:category/>
  <cp:version/>
  <cp:contentType/>
  <cp:contentStatus/>
  <cp:revision>34</cp:revision>
</cp:coreProperties>
</file>